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xavier/Dropbox/A - XMSL Consultants/TCO-Scan/"/>
    </mc:Choice>
  </mc:AlternateContent>
  <xr:revisionPtr revIDLastSave="0" documentId="13_ncr:1_{D74773EA-431F-8949-A615-A821AD696B40}" xr6:coauthVersionLast="47" xr6:coauthVersionMax="47" xr10:uidLastSave="{00000000-0000-0000-0000-000000000000}"/>
  <bookViews>
    <workbookView xWindow="0" yWindow="600" windowWidth="21520" windowHeight="14820" xr2:uid="{FB38B412-6520-884E-A576-41E7EDE85F0B}"/>
  </bookViews>
  <sheets>
    <sheet name="TCO" sheetId="1" r:id="rId1"/>
  </sheets>
  <definedNames>
    <definedName name="Liste">TCO!$D$6:$E$8</definedName>
    <definedName name="Motorisation">TCO!$E$3:$E$5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G14" i="1"/>
  <c r="AQ14" i="1"/>
  <c r="AK14" i="1"/>
  <c r="AE14" i="1"/>
  <c r="Y14" i="1"/>
  <c r="S14" i="1"/>
  <c r="M14" i="1"/>
  <c r="C8" i="1" l="1"/>
  <c r="AQ26" i="1"/>
  <c r="AK26" i="1"/>
  <c r="AE26" i="1"/>
  <c r="Y26" i="1"/>
  <c r="S26" i="1"/>
  <c r="M26" i="1"/>
  <c r="G26" i="1"/>
  <c r="AM13" i="1"/>
  <c r="AM12" i="1"/>
  <c r="AP23" i="1"/>
  <c r="AP22" i="1"/>
  <c r="AP21" i="1"/>
  <c r="AP20" i="1"/>
  <c r="AP19" i="1"/>
  <c r="AP18" i="1"/>
  <c r="AP17" i="1"/>
  <c r="AP16" i="1"/>
  <c r="AQ16" i="1" s="1"/>
  <c r="AQ17" i="1" l="1"/>
  <c r="AQ18" i="1" s="1"/>
  <c r="AQ19" i="1" s="1"/>
  <c r="AQ20" i="1" s="1"/>
  <c r="AQ21" i="1" s="1"/>
  <c r="AQ22" i="1" s="1"/>
  <c r="AQ23" i="1" s="1"/>
  <c r="L24" i="1" l="1"/>
  <c r="F24" i="1"/>
  <c r="C24" i="1"/>
  <c r="AJ23" i="1"/>
  <c r="AD23" i="1"/>
  <c r="X23" i="1"/>
  <c r="R23" i="1"/>
  <c r="L23" i="1"/>
  <c r="F23" i="1"/>
  <c r="C23" i="1"/>
  <c r="AJ22" i="1"/>
  <c r="AD22" i="1"/>
  <c r="X22" i="1"/>
  <c r="R22" i="1"/>
  <c r="L22" i="1"/>
  <c r="F22" i="1"/>
  <c r="C22" i="1"/>
  <c r="AJ21" i="1"/>
  <c r="AD21" i="1"/>
  <c r="X21" i="1"/>
  <c r="R21" i="1"/>
  <c r="L21" i="1"/>
  <c r="F21" i="1"/>
  <c r="C21" i="1"/>
  <c r="AJ20" i="1"/>
  <c r="AD20" i="1"/>
  <c r="X20" i="1"/>
  <c r="R20" i="1"/>
  <c r="L20" i="1"/>
  <c r="F20" i="1"/>
  <c r="C20" i="1"/>
  <c r="AJ19" i="1"/>
  <c r="AD19" i="1"/>
  <c r="X19" i="1"/>
  <c r="R19" i="1"/>
  <c r="L19" i="1"/>
  <c r="F19" i="1"/>
  <c r="C19" i="1"/>
  <c r="AJ18" i="1"/>
  <c r="AD18" i="1"/>
  <c r="X18" i="1"/>
  <c r="R18" i="1"/>
  <c r="L18" i="1"/>
  <c r="F18" i="1"/>
  <c r="C18" i="1"/>
  <c r="AJ17" i="1"/>
  <c r="AK17" i="1" s="1"/>
  <c r="AK18" i="1" s="1"/>
  <c r="AK19" i="1" s="1"/>
  <c r="AK20" i="1" s="1"/>
  <c r="AK21" i="1" s="1"/>
  <c r="AD17" i="1"/>
  <c r="X17" i="1"/>
  <c r="R17" i="1"/>
  <c r="L17" i="1"/>
  <c r="F17" i="1"/>
  <c r="C17" i="1"/>
  <c r="AJ16" i="1"/>
  <c r="AK16" i="1" s="1"/>
  <c r="AD16" i="1"/>
  <c r="AE16" i="1" s="1"/>
  <c r="X16" i="1"/>
  <c r="Y16" i="1" s="1"/>
  <c r="R16" i="1"/>
  <c r="S16" i="1" s="1"/>
  <c r="L16" i="1"/>
  <c r="M16" i="1" s="1"/>
  <c r="F16" i="1"/>
  <c r="G16" i="1" s="1"/>
  <c r="C16" i="1"/>
  <c r="AG13" i="1"/>
  <c r="AA13" i="1"/>
  <c r="U13" i="1"/>
  <c r="O13" i="1"/>
  <c r="O12" i="1" s="1"/>
  <c r="I13" i="1"/>
  <c r="I12" i="1" s="1"/>
  <c r="C13" i="1"/>
  <c r="C12" i="1" s="1"/>
  <c r="U12" i="1"/>
  <c r="Y17" i="1" l="1"/>
  <c r="Y18" i="1" s="1"/>
  <c r="AE17" i="1"/>
  <c r="AE18" i="1" s="1"/>
  <c r="AE19" i="1" s="1"/>
  <c r="AE20" i="1" s="1"/>
  <c r="AE21" i="1" s="1"/>
  <c r="AE22" i="1" s="1"/>
  <c r="AE23" i="1" s="1"/>
  <c r="Y19" i="1"/>
  <c r="Y20" i="1" s="1"/>
  <c r="Y21" i="1" s="1"/>
  <c r="Y22" i="1" s="1"/>
  <c r="Y23" i="1" s="1"/>
  <c r="AG12" i="1"/>
  <c r="AA12" i="1"/>
  <c r="M17" i="1"/>
  <c r="M18" i="1" s="1"/>
  <c r="M19" i="1" s="1"/>
  <c r="M20" i="1" s="1"/>
  <c r="M21" i="1" s="1"/>
  <c r="M22" i="1" s="1"/>
  <c r="M23" i="1" s="1"/>
  <c r="M24" i="1" s="1"/>
  <c r="AK22" i="1"/>
  <c r="AK23" i="1" s="1"/>
  <c r="G17" i="1"/>
  <c r="G18" i="1" s="1"/>
  <c r="G19" i="1" s="1"/>
  <c r="G20" i="1" s="1"/>
  <c r="G21" i="1" s="1"/>
  <c r="G22" i="1" s="1"/>
  <c r="S17" i="1"/>
  <c r="S18" i="1" s="1"/>
  <c r="S19" i="1" s="1"/>
  <c r="S20" i="1" s="1"/>
  <c r="S21" i="1" s="1"/>
  <c r="S22" i="1" s="1"/>
  <c r="S23" i="1" s="1"/>
  <c r="S24" i="1" s="1"/>
  <c r="AQ25" i="1"/>
  <c r="AQ27" i="1" l="1"/>
  <c r="AQ28" i="1" s="1"/>
  <c r="AQ29" i="1" s="1"/>
  <c r="G23" i="1"/>
  <c r="G24" i="1" s="1"/>
  <c r="AE25" i="1"/>
  <c r="M25" i="1"/>
  <c r="S25" i="1"/>
  <c r="M27" i="1" l="1"/>
  <c r="M28" i="1" s="1"/>
  <c r="M29" i="1" s="1"/>
  <c r="S27" i="1"/>
  <c r="S28" i="1" s="1"/>
  <c r="S29" i="1" s="1"/>
  <c r="AE27" i="1"/>
  <c r="AE28" i="1" s="1"/>
  <c r="AP28" i="1"/>
  <c r="G25" i="1"/>
  <c r="AK25" i="1"/>
  <c r="Y25" i="1"/>
  <c r="AE29" i="1" l="1"/>
  <c r="AD28" i="1" s="1"/>
  <c r="L28" i="1"/>
  <c r="G27" i="1"/>
  <c r="Y27" i="1"/>
  <c r="Y28" i="1" s="1"/>
  <c r="Y29" i="1" s="1"/>
  <c r="AK27" i="1"/>
  <c r="AK28" i="1" s="1"/>
  <c r="AK29" i="1" s="1"/>
  <c r="R28" i="1"/>
  <c r="G28" i="1" l="1"/>
  <c r="AJ28" i="1"/>
  <c r="X28" i="1"/>
  <c r="G29" i="1" l="1"/>
  <c r="F28" i="1" s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<sst xmlns="http://schemas.openxmlformats.org/spreadsheetml/2006/main" count="111" uniqueCount="41">
  <si>
    <t>CO2</t>
  </si>
  <si>
    <t>seuil</t>
  </si>
  <si>
    <t>plafond</t>
  </si>
  <si>
    <t>nb de g</t>
  </si>
  <si>
    <t xml:space="preserve">Fraction des émissions de CO2 </t>
  </si>
  <si>
    <t>Tarif marginal (en €)</t>
  </si>
  <si>
    <t>WLTP (en g/km)</t>
  </si>
  <si>
    <t>Jusqu'à 4</t>
  </si>
  <si>
    <t>Jusqu'à 40</t>
  </si>
  <si>
    <t>De 5 à 45</t>
  </si>
  <si>
    <t>De 41 à 48</t>
  </si>
  <si>
    <t>De 46 à 53</t>
  </si>
  <si>
    <t>De 49 à 80</t>
  </si>
  <si>
    <t>De 54 à 85</t>
  </si>
  <si>
    <t>De 81 à 100</t>
  </si>
  <si>
    <t>De 86 à 105</t>
  </si>
  <si>
    <t>De 101 à 120</t>
  </si>
  <si>
    <t>De 106 à 125</t>
  </si>
  <si>
    <t>De 121 à 140</t>
  </si>
  <si>
    <t>De 126 à 145</t>
  </si>
  <si>
    <t>De 141 à 160</t>
  </si>
  <si>
    <t>De 146 à 165</t>
  </si>
  <si>
    <t>A partir de 161</t>
  </si>
  <si>
    <t>A partir de 166</t>
  </si>
  <si>
    <t>Taxe annuelle sur les émissions de CO2</t>
  </si>
  <si>
    <t>Taxe annuelle sur les polluants atmosphériques</t>
  </si>
  <si>
    <t>Total annuel Taxe sur l'affectation</t>
  </si>
  <si>
    <t>Date de livraison</t>
  </si>
  <si>
    <t>Durée de détention (en mois)</t>
  </si>
  <si>
    <t>Pour calculer le TCO complet, rendez-vous sur notre site</t>
  </si>
  <si>
    <t>Valeur</t>
  </si>
  <si>
    <t>E</t>
  </si>
  <si>
    <t>Autres</t>
  </si>
  <si>
    <t>Motorisation (Crit'air : E,1 ou autres)</t>
  </si>
  <si>
    <t>Crit Air 1 : Essence, Hybride essence, GPL, GNV</t>
  </si>
  <si>
    <t>Autres Crit'Air (Diesel, Hybride diesel)</t>
  </si>
  <si>
    <t>Crit'Air E : Electrique, Hydrogène</t>
  </si>
  <si>
    <t>Mise à jour le 24 janvier 2025</t>
  </si>
  <si>
    <t>Montant pris en compte dans le calculateur de TCO de TCO-Scan.com</t>
  </si>
  <si>
    <t>SAISIR les cellules jaunes</t>
  </si>
  <si>
    <t>Cet outil vous est offert par TCO-Scan.com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</si>
</sst>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9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8"/>
      <color rgb="FFFFFFFF"/>
      <name val="Arial"/>
      <family val="2"/>
    </font>
    <font>
      <b/>
      <sz val="16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rgb="FFFD849B"/>
      <name val="Aptos Narrow"/>
      <family val="2"/>
      <scheme val="minor"/>
    </font>
    <font>
      <sz val="16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4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2"/>
      <color rgb="FFFFFF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265"/>
        <bgColor indexed="64"/>
      </patternFill>
    </fill>
    <fill>
      <patternFill patternType="solid">
        <fgColor rgb="FFCDDCE8"/>
        <bgColor indexed="64"/>
      </patternFill>
    </fill>
    <fill>
      <patternFill patternType="solid">
        <fgColor rgb="FFE8EEF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67C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10" borderId="3" xfId="0" applyFont="1" applyFill="1" applyBorder="1" applyAlignment="1">
      <alignment horizontal="center" vertical="center" wrapText="1" readingOrder="1"/>
    </xf>
    <xf numFmtId="0" fontId="4" fillId="10" borderId="4" xfId="0" applyFont="1" applyFill="1" applyBorder="1" applyAlignment="1">
      <alignment horizontal="center" vertical="center" wrapText="1" readingOrder="1"/>
    </xf>
    <xf numFmtId="164" fontId="0" fillId="0" borderId="0" xfId="0" applyNumberForma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0" fillId="0" borderId="5" xfId="0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14" fontId="3" fillId="4" borderId="2" xfId="0" applyNumberFormat="1" applyFont="1" applyFill="1" applyBorder="1" applyAlignment="1">
      <alignment horizontal="center"/>
    </xf>
    <xf numFmtId="14" fontId="1" fillId="5" borderId="2" xfId="0" applyNumberFormat="1" applyFont="1" applyFill="1" applyBorder="1" applyAlignment="1">
      <alignment horizontal="center"/>
    </xf>
    <xf numFmtId="14" fontId="1" fillId="6" borderId="2" xfId="0" applyNumberFormat="1" applyFont="1" applyFill="1" applyBorder="1" applyAlignment="1">
      <alignment horizontal="center"/>
    </xf>
    <xf numFmtId="14" fontId="1" fillId="7" borderId="2" xfId="0" applyNumberFormat="1" applyFont="1" applyFill="1" applyBorder="1" applyAlignment="1">
      <alignment horizontal="center"/>
    </xf>
    <xf numFmtId="14" fontId="1" fillId="8" borderId="2" xfId="0" applyNumberFormat="1" applyFont="1" applyFill="1" applyBorder="1" applyAlignment="1">
      <alignment horizontal="center"/>
    </xf>
    <xf numFmtId="14" fontId="1" fillId="9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15" borderId="0" xfId="0" applyFont="1" applyFill="1" applyAlignment="1">
      <alignment horizontal="center"/>
    </xf>
    <xf numFmtId="0" fontId="10" fillId="15" borderId="0" xfId="0" applyFont="1" applyFill="1" applyAlignment="1">
      <alignment vertical="center"/>
    </xf>
    <xf numFmtId="0" fontId="11" fillId="15" borderId="0" xfId="0" applyFont="1" applyFill="1" applyAlignment="1">
      <alignment vertical="center"/>
    </xf>
    <xf numFmtId="2" fontId="12" fillId="0" borderId="0" xfId="0" applyNumberFormat="1" applyFont="1" applyAlignment="1">
      <alignment horizontal="center" vertical="center" wrapText="1"/>
    </xf>
    <xf numFmtId="0" fontId="1" fillId="16" borderId="1" xfId="0" applyFont="1" applyFill="1" applyBorder="1" applyAlignment="1">
      <alignment horizontal="center"/>
    </xf>
    <xf numFmtId="14" fontId="1" fillId="16" borderId="2" xfId="0" applyNumberFormat="1" applyFont="1" applyFill="1" applyBorder="1" applyAlignment="1">
      <alignment horizontal="center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6" borderId="9" xfId="0" applyFont="1" applyFill="1" applyBorder="1" applyAlignment="1" applyProtection="1">
      <alignment horizontal="center"/>
      <protection locked="0"/>
    </xf>
    <xf numFmtId="14" fontId="2" fillId="6" borderId="9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17" borderId="7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0" fillId="0" borderId="0" xfId="0" applyFont="1" applyProtection="1"/>
    <xf numFmtId="0" fontId="2" fillId="0" borderId="0" xfId="0" applyFont="1" applyFill="1" applyBorder="1" applyAlignment="1" applyProtection="1"/>
    <xf numFmtId="0" fontId="0" fillId="0" borderId="0" xfId="0" applyProtection="1"/>
    <xf numFmtId="0" fontId="8" fillId="0" borderId="0" xfId="0" applyFont="1" applyFill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 vertical="center"/>
    </xf>
    <xf numFmtId="14" fontId="8" fillId="0" borderId="0" xfId="0" applyNumberFormat="1" applyFont="1" applyFill="1" applyBorder="1" applyProtection="1"/>
    <xf numFmtId="2" fontId="8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Protection="1"/>
    <xf numFmtId="1" fontId="2" fillId="0" borderId="0" xfId="0" applyNumberFormat="1" applyFont="1" applyFill="1" applyBorder="1" applyAlignment="1" applyProtection="1"/>
    <xf numFmtId="2" fontId="0" fillId="0" borderId="0" xfId="0" applyNumberFormat="1" applyFont="1" applyFill="1" applyBorder="1" applyProtection="1"/>
    <xf numFmtId="0" fontId="14" fillId="0" borderId="0" xfId="0" applyFont="1"/>
    <xf numFmtId="164" fontId="15" fillId="4" borderId="0" xfId="0" applyNumberFormat="1" applyFont="1" applyFill="1" applyAlignment="1">
      <alignment horizontal="center" vertical="center"/>
    </xf>
    <xf numFmtId="164" fontId="14" fillId="0" borderId="0" xfId="0" applyNumberFormat="1" applyFont="1"/>
    <xf numFmtId="164" fontId="5" fillId="5" borderId="0" xfId="0" applyNumberFormat="1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164" fontId="5" fillId="13" borderId="0" xfId="0" applyNumberFormat="1" applyFont="1" applyFill="1" applyAlignment="1">
      <alignment horizontal="center" vertical="center"/>
    </xf>
    <xf numFmtId="164" fontId="5" fillId="8" borderId="0" xfId="0" applyNumberFormat="1" applyFont="1" applyFill="1" applyAlignment="1">
      <alignment horizontal="center" vertical="center"/>
    </xf>
    <xf numFmtId="164" fontId="5" fillId="9" borderId="0" xfId="0" applyNumberFormat="1" applyFont="1" applyFill="1" applyAlignment="1">
      <alignment horizontal="center" vertical="center"/>
    </xf>
    <xf numFmtId="164" fontId="5" fillId="16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4" fontId="5" fillId="14" borderId="0" xfId="0" applyNumberFormat="1" applyFont="1" applyFill="1" applyAlignment="1">
      <alignment horizontal="center" vertical="center"/>
    </xf>
    <xf numFmtId="164" fontId="15" fillId="15" borderId="0" xfId="0" applyNumberFormat="1" applyFont="1" applyFill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 readingOrder="1"/>
    </xf>
    <xf numFmtId="164" fontId="17" fillId="12" borderId="4" xfId="0" applyNumberFormat="1" applyFont="1" applyFill="1" applyBorder="1" applyAlignment="1">
      <alignment horizontal="center" vertical="center" wrapText="1" readingOrder="1"/>
    </xf>
    <xf numFmtId="164" fontId="17" fillId="11" borderId="4" xfId="0" applyNumberFormat="1" applyFont="1" applyFill="1" applyBorder="1" applyAlignment="1">
      <alignment horizontal="center" vertical="center" wrapText="1" readingOrder="1"/>
    </xf>
    <xf numFmtId="0" fontId="16" fillId="10" borderId="3" xfId="0" applyFont="1" applyFill="1" applyBorder="1" applyAlignment="1">
      <alignment horizontal="center" vertical="center" wrapText="1" readingOrder="1"/>
    </xf>
    <xf numFmtId="0" fontId="18" fillId="10" borderId="3" xfId="0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/>
    </xf>
    <xf numFmtId="0" fontId="4" fillId="10" borderId="11" xfId="0" applyFont="1" applyFill="1" applyBorder="1" applyAlignment="1">
      <alignment horizontal="center" vertical="center" wrapText="1" readingOrder="1"/>
    </xf>
    <xf numFmtId="0" fontId="18" fillId="10" borderId="11" xfId="0" applyFont="1" applyFill="1" applyBorder="1" applyAlignment="1">
      <alignment horizontal="center" vertical="center" wrapText="1" readingOrder="1"/>
    </xf>
    <xf numFmtId="0" fontId="4" fillId="10" borderId="12" xfId="0" applyFont="1" applyFill="1" applyBorder="1" applyAlignment="1">
      <alignment horizontal="center" vertical="center" wrapText="1" readingOrder="1"/>
    </xf>
    <xf numFmtId="164" fontId="16" fillId="10" borderId="4" xfId="0" applyNumberFormat="1" applyFont="1" applyFill="1" applyBorder="1" applyAlignment="1">
      <alignment horizontal="center" vertical="center" wrapText="1" readingOrder="1"/>
    </xf>
    <xf numFmtId="0" fontId="4" fillId="10" borderId="10" xfId="0" applyFont="1" applyFill="1" applyBorder="1" applyAlignment="1">
      <alignment horizontal="center" vertical="center" wrapText="1" readingOrder="1"/>
    </xf>
    <xf numFmtId="164" fontId="16" fillId="10" borderId="3" xfId="0" applyNumberFormat="1" applyFont="1" applyFill="1" applyBorder="1" applyAlignment="1">
      <alignment horizontal="center" vertical="center" wrapText="1" readingOrder="1"/>
    </xf>
    <xf numFmtId="164" fontId="17" fillId="11" borderId="3" xfId="0" applyNumberFormat="1" applyFont="1" applyFill="1" applyBorder="1" applyAlignment="1">
      <alignment horizontal="center" vertical="center" wrapText="1" readingOrder="1"/>
    </xf>
    <xf numFmtId="164" fontId="17" fillId="12" borderId="3" xfId="0" applyNumberFormat="1" applyFont="1" applyFill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left" vertical="center"/>
    </xf>
    <xf numFmtId="0" fontId="5" fillId="3" borderId="14" xfId="0" applyFont="1" applyFill="1" applyBorder="1"/>
    <xf numFmtId="0" fontId="5" fillId="14" borderId="14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67C"/>
      <color rgb="FFFD8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123D-5EE2-EE4E-B82B-2D7E23AD9E92}">
  <sheetPr>
    <pageSetUpPr fitToPage="1"/>
  </sheetPr>
  <dimension ref="B1:AR42"/>
  <sheetViews>
    <sheetView showGridLines="0" tabSelected="1" zoomScale="114" zoomScaleNormal="114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B5" sqref="B5"/>
    </sheetView>
  </sheetViews>
  <sheetFormatPr baseColWidth="10" defaultRowHeight="16" x14ac:dyDescent="0.2"/>
  <cols>
    <col min="1" max="1" width="2.33203125" customWidth="1"/>
    <col min="2" max="2" width="55.1640625" bestFit="1" customWidth="1"/>
    <col min="7" max="7" width="17.33203125" customWidth="1"/>
    <col min="13" max="13" width="17.33203125" customWidth="1"/>
    <col min="19" max="19" width="17.5" customWidth="1"/>
    <col min="25" max="25" width="17.33203125" customWidth="1"/>
    <col min="30" max="30" width="10.83203125" customWidth="1"/>
    <col min="31" max="31" width="17.5" customWidth="1"/>
    <col min="37" max="37" width="17.33203125" customWidth="1"/>
    <col min="43" max="43" width="17.33203125" customWidth="1"/>
    <col min="49" max="49" width="13.33203125" customWidth="1"/>
  </cols>
  <sheetData>
    <row r="1" spans="2:44" ht="14" customHeight="1" x14ac:dyDescent="0.2">
      <c r="B1" s="29" t="s">
        <v>37</v>
      </c>
    </row>
    <row r="2" spans="2:44" ht="7" customHeight="1" thickBot="1" x14ac:dyDescent="0.25">
      <c r="B2" s="30"/>
      <c r="C2" s="28"/>
      <c r="D2" s="28"/>
      <c r="E2" s="28"/>
      <c r="F2" s="28"/>
      <c r="G2" s="6" t="s">
        <v>30</v>
      </c>
      <c r="H2" s="6"/>
      <c r="I2" s="6"/>
    </row>
    <row r="3" spans="2:44" ht="17" thickBot="1" x14ac:dyDescent="0.25">
      <c r="B3" s="35" t="s">
        <v>39</v>
      </c>
      <c r="C3" s="37"/>
      <c r="D3" s="37"/>
      <c r="E3" s="37"/>
      <c r="F3" s="38"/>
      <c r="G3" s="39"/>
      <c r="H3" s="39"/>
      <c r="I3" s="36"/>
    </row>
    <row r="4" spans="2:44" x14ac:dyDescent="0.2">
      <c r="B4" s="33" t="s">
        <v>0</v>
      </c>
      <c r="C4" s="40"/>
      <c r="D4" s="40"/>
      <c r="E4" s="40"/>
      <c r="F4" s="39"/>
      <c r="G4" s="39"/>
      <c r="H4" s="41"/>
      <c r="I4" s="36"/>
    </row>
    <row r="5" spans="2:44" ht="17" thickBot="1" x14ac:dyDescent="0.25">
      <c r="B5" s="31">
        <v>123</v>
      </c>
      <c r="C5" s="42"/>
      <c r="D5" s="42"/>
      <c r="E5" s="42"/>
      <c r="F5" s="39"/>
      <c r="G5" s="39"/>
      <c r="H5" s="41"/>
      <c r="I5" s="36"/>
    </row>
    <row r="6" spans="2:44" x14ac:dyDescent="0.2">
      <c r="B6" s="33" t="s">
        <v>33</v>
      </c>
      <c r="C6" s="42"/>
      <c r="D6" s="43" t="s">
        <v>36</v>
      </c>
      <c r="E6" s="44" t="s">
        <v>31</v>
      </c>
      <c r="F6" s="39"/>
      <c r="G6" s="39"/>
      <c r="H6" s="41"/>
      <c r="I6" s="36"/>
    </row>
    <row r="7" spans="2:44" ht="17" thickBot="1" x14ac:dyDescent="0.25">
      <c r="B7" s="31" t="s">
        <v>34</v>
      </c>
      <c r="C7" s="42"/>
      <c r="D7" s="43" t="s">
        <v>34</v>
      </c>
      <c r="E7" s="44">
        <v>1</v>
      </c>
      <c r="F7" s="39"/>
      <c r="G7" s="39"/>
      <c r="H7" s="41"/>
      <c r="I7" s="36"/>
    </row>
    <row r="8" spans="2:44" x14ac:dyDescent="0.2">
      <c r="B8" s="33" t="s">
        <v>27</v>
      </c>
      <c r="C8" s="45">
        <f>EDATE(B9,B11)-1</f>
        <v>47141</v>
      </c>
      <c r="D8" s="43" t="s">
        <v>35</v>
      </c>
      <c r="E8" s="46" t="s">
        <v>32</v>
      </c>
      <c r="F8" s="39"/>
      <c r="G8" s="39"/>
      <c r="H8" s="41"/>
      <c r="I8" s="36"/>
    </row>
    <row r="9" spans="2:44" ht="17" thickBot="1" x14ac:dyDescent="0.25">
      <c r="B9" s="32">
        <v>45681</v>
      </c>
      <c r="C9" s="47"/>
      <c r="D9" s="47"/>
      <c r="E9" s="47"/>
      <c r="F9" s="47"/>
      <c r="G9" s="48"/>
      <c r="H9" s="39"/>
      <c r="I9" s="36"/>
    </row>
    <row r="10" spans="2:44" x14ac:dyDescent="0.2">
      <c r="B10" s="34" t="s">
        <v>28</v>
      </c>
      <c r="C10" s="49"/>
      <c r="D10" s="49"/>
      <c r="E10" s="49"/>
      <c r="F10" s="50"/>
      <c r="G10" s="39"/>
      <c r="H10" s="39"/>
      <c r="I10" s="36"/>
    </row>
    <row r="11" spans="2:44" ht="17" thickBot="1" x14ac:dyDescent="0.25">
      <c r="B11" s="27">
        <v>48</v>
      </c>
      <c r="C11" s="39"/>
      <c r="D11" s="39"/>
      <c r="E11" s="39"/>
      <c r="F11" s="39"/>
      <c r="G11" s="39"/>
      <c r="H11" s="39"/>
      <c r="I11" s="36"/>
    </row>
    <row r="12" spans="2:44" ht="20" thickBot="1" x14ac:dyDescent="0.25">
      <c r="B12" s="4" t="s">
        <v>40</v>
      </c>
      <c r="C12" s="15">
        <f t="shared" ref="C12" si="0">YEAR(C13)</f>
        <v>2025</v>
      </c>
      <c r="D12" s="15"/>
      <c r="E12" s="15"/>
      <c r="F12" s="15"/>
      <c r="G12" s="15"/>
      <c r="H12" s="15"/>
      <c r="I12" s="16">
        <f t="shared" ref="I12" si="1">YEAR(I13)</f>
        <v>2026</v>
      </c>
      <c r="J12" s="16"/>
      <c r="K12" s="16"/>
      <c r="L12" s="16"/>
      <c r="M12" s="16"/>
      <c r="N12" s="16"/>
      <c r="O12" s="17">
        <f t="shared" ref="O12" si="2">YEAR(O13)</f>
        <v>2027</v>
      </c>
      <c r="P12" s="17"/>
      <c r="Q12" s="17"/>
      <c r="R12" s="17"/>
      <c r="S12" s="17"/>
      <c r="T12" s="17"/>
      <c r="U12" s="18">
        <f>YEAR(DATE(2028,12,31))</f>
        <v>2028</v>
      </c>
      <c r="V12" s="18"/>
      <c r="W12" s="18"/>
      <c r="X12" s="18"/>
      <c r="Y12" s="18"/>
      <c r="Z12" s="18"/>
      <c r="AA12" s="19">
        <f t="shared" ref="AA12" si="3">YEAR(AA13)</f>
        <v>2029</v>
      </c>
      <c r="AB12" s="19"/>
      <c r="AC12" s="19"/>
      <c r="AD12" s="19"/>
      <c r="AE12" s="19"/>
      <c r="AF12" s="19"/>
      <c r="AG12" s="8">
        <f t="shared" ref="AG12" si="4">YEAR(AG13)</f>
        <v>2030</v>
      </c>
      <c r="AH12" s="8"/>
      <c r="AI12" s="8"/>
      <c r="AJ12" s="8"/>
      <c r="AK12" s="8"/>
      <c r="AL12" s="8"/>
      <c r="AM12" s="25">
        <f>YEAR(AM13)</f>
        <v>2031</v>
      </c>
      <c r="AN12" s="25"/>
      <c r="AO12" s="25"/>
      <c r="AP12" s="25"/>
      <c r="AQ12" s="25"/>
      <c r="AR12" s="25"/>
    </row>
    <row r="13" spans="2:44" ht="20" hidden="1" thickBot="1" x14ac:dyDescent="0.25">
      <c r="B13" s="4" t="s">
        <v>40</v>
      </c>
      <c r="C13" s="9">
        <f>DATE(2025,12,31)</f>
        <v>46022</v>
      </c>
      <c r="D13" s="9"/>
      <c r="E13" s="9"/>
      <c r="F13" s="9"/>
      <c r="G13" s="9"/>
      <c r="H13" s="9"/>
      <c r="I13" s="10">
        <f>DATE(2026,12,31)</f>
        <v>46387</v>
      </c>
      <c r="J13" s="10"/>
      <c r="K13" s="10"/>
      <c r="L13" s="10"/>
      <c r="M13" s="10"/>
      <c r="N13" s="10"/>
      <c r="O13" s="11">
        <f>DATE(2027,12,31)</f>
        <v>46752</v>
      </c>
      <c r="P13" s="11"/>
      <c r="Q13" s="11"/>
      <c r="R13" s="11"/>
      <c r="S13" s="11"/>
      <c r="T13" s="11"/>
      <c r="U13" s="12">
        <f>DATE(2028,12,31)</f>
        <v>47118</v>
      </c>
      <c r="V13" s="12"/>
      <c r="W13" s="12"/>
      <c r="X13" s="12"/>
      <c r="Y13" s="12"/>
      <c r="Z13" s="12"/>
      <c r="AA13" s="13">
        <f>DATE(2029,12,31)</f>
        <v>47483</v>
      </c>
      <c r="AB13" s="13"/>
      <c r="AC13" s="13"/>
      <c r="AD13" s="13"/>
      <c r="AE13" s="13"/>
      <c r="AF13" s="13"/>
      <c r="AG13" s="14">
        <f>DATE(2030,12,31)</f>
        <v>47848</v>
      </c>
      <c r="AH13" s="14"/>
      <c r="AI13" s="14"/>
      <c r="AJ13" s="14"/>
      <c r="AK13" s="14"/>
      <c r="AL13" s="14"/>
      <c r="AM13" s="26">
        <f>DATE(2031,12,31)</f>
        <v>48213</v>
      </c>
      <c r="AN13" s="26"/>
      <c r="AO13" s="26"/>
      <c r="AP13" s="26"/>
      <c r="AQ13" s="26"/>
      <c r="AR13" s="26"/>
    </row>
    <row r="14" spans="2:44" ht="36" x14ac:dyDescent="0.2">
      <c r="B14" s="7" t="e" vm="1">
        <v>#VALUE!</v>
      </c>
      <c r="C14" s="1" t="s">
        <v>4</v>
      </c>
      <c r="D14" s="67" t="s">
        <v>1</v>
      </c>
      <c r="E14" s="67" t="s">
        <v>2</v>
      </c>
      <c r="F14" s="67" t="s">
        <v>3</v>
      </c>
      <c r="G14" s="67" t="str">
        <f>"Pour "&amp;$B$5&amp;" g de CO2/km"</f>
        <v>Pour 123 g de CO2/km</v>
      </c>
      <c r="H14" s="67" t="s">
        <v>5</v>
      </c>
      <c r="I14" s="1" t="s">
        <v>4</v>
      </c>
      <c r="J14" s="67" t="s">
        <v>1</v>
      </c>
      <c r="K14" s="67" t="s">
        <v>2</v>
      </c>
      <c r="L14" s="67" t="s">
        <v>3</v>
      </c>
      <c r="M14" s="67" t="str">
        <f>"Pour "&amp;$B$5&amp;" g de CO2/km"</f>
        <v>Pour 123 g de CO2/km</v>
      </c>
      <c r="N14" s="67" t="s">
        <v>5</v>
      </c>
      <c r="O14" s="1" t="s">
        <v>4</v>
      </c>
      <c r="P14" s="67" t="s">
        <v>1</v>
      </c>
      <c r="Q14" s="67" t="s">
        <v>2</v>
      </c>
      <c r="R14" s="67" t="s">
        <v>3</v>
      </c>
      <c r="S14" s="67" t="str">
        <f>"Pour "&amp;$B$5&amp;" g de CO2/km"</f>
        <v>Pour 123 g de CO2/km</v>
      </c>
      <c r="T14" s="67" t="s">
        <v>5</v>
      </c>
      <c r="U14" s="1" t="s">
        <v>4</v>
      </c>
      <c r="V14" s="67" t="s">
        <v>1</v>
      </c>
      <c r="W14" s="67" t="s">
        <v>2</v>
      </c>
      <c r="X14" s="67" t="s">
        <v>3</v>
      </c>
      <c r="Y14" s="67" t="str">
        <f>"Pour "&amp;$B$5&amp;" g de CO2/km"</f>
        <v>Pour 123 g de CO2/km</v>
      </c>
      <c r="Z14" s="67" t="s">
        <v>5</v>
      </c>
      <c r="AA14" s="1" t="s">
        <v>4</v>
      </c>
      <c r="AB14" s="67" t="s">
        <v>1</v>
      </c>
      <c r="AC14" s="67" t="s">
        <v>2</v>
      </c>
      <c r="AD14" s="67" t="s">
        <v>3</v>
      </c>
      <c r="AE14" s="67" t="str">
        <f>"Pour "&amp;$B$5&amp;" g de CO2/km"</f>
        <v>Pour 123 g de CO2/km</v>
      </c>
      <c r="AF14" s="67" t="s">
        <v>5</v>
      </c>
      <c r="AG14" s="1" t="s">
        <v>4</v>
      </c>
      <c r="AH14" s="67" t="s">
        <v>1</v>
      </c>
      <c r="AI14" s="67" t="s">
        <v>2</v>
      </c>
      <c r="AJ14" s="67" t="s">
        <v>3</v>
      </c>
      <c r="AK14" s="67" t="str">
        <f>"Pour "&amp;$B$5&amp;" g de CO2/km"</f>
        <v>Pour 123 g de CO2/km</v>
      </c>
      <c r="AL14" s="67" t="s">
        <v>5</v>
      </c>
      <c r="AM14" s="1" t="s">
        <v>4</v>
      </c>
      <c r="AN14" s="67" t="s">
        <v>1</v>
      </c>
      <c r="AO14" s="67" t="s">
        <v>2</v>
      </c>
      <c r="AP14" s="67" t="s">
        <v>3</v>
      </c>
      <c r="AQ14" s="67" t="str">
        <f>"Pour "&amp;$B$5&amp;" g de CO2/km"</f>
        <v>Pour 123 g de CO2/km</v>
      </c>
      <c r="AR14" s="67" t="s">
        <v>5</v>
      </c>
    </row>
    <row r="15" spans="2:44" ht="17" thickBot="1" x14ac:dyDescent="0.25">
      <c r="B15" s="7"/>
      <c r="C15" s="69" t="s">
        <v>6</v>
      </c>
      <c r="D15" s="70"/>
      <c r="E15" s="70"/>
      <c r="F15" s="70"/>
      <c r="G15" s="70"/>
      <c r="H15" s="70"/>
      <c r="I15" s="69" t="s">
        <v>6</v>
      </c>
      <c r="J15" s="70"/>
      <c r="K15" s="70"/>
      <c r="L15" s="70"/>
      <c r="M15" s="70"/>
      <c r="N15" s="70"/>
      <c r="O15" s="69" t="s">
        <v>6</v>
      </c>
      <c r="P15" s="70"/>
      <c r="Q15" s="70"/>
      <c r="R15" s="70"/>
      <c r="S15" s="70"/>
      <c r="T15" s="70"/>
      <c r="U15" s="69" t="s">
        <v>6</v>
      </c>
      <c r="V15" s="70"/>
      <c r="W15" s="70"/>
      <c r="X15" s="70"/>
      <c r="Y15" s="70"/>
      <c r="Z15" s="70"/>
      <c r="AA15" s="69" t="s">
        <v>6</v>
      </c>
      <c r="AB15" s="70"/>
      <c r="AC15" s="70"/>
      <c r="AD15" s="70"/>
      <c r="AE15" s="70"/>
      <c r="AF15" s="70"/>
      <c r="AG15" s="69" t="s">
        <v>6</v>
      </c>
      <c r="AH15" s="70"/>
      <c r="AI15" s="70"/>
      <c r="AJ15" s="70"/>
      <c r="AK15" s="70"/>
      <c r="AL15" s="70"/>
      <c r="AM15" s="69" t="s">
        <v>6</v>
      </c>
      <c r="AN15" s="70"/>
      <c r="AO15" s="70"/>
      <c r="AP15" s="70"/>
      <c r="AQ15" s="70"/>
      <c r="AR15" s="70"/>
    </row>
    <row r="16" spans="2:44" ht="17" thickBot="1" x14ac:dyDescent="0.25">
      <c r="B16" s="68"/>
      <c r="C16" s="71" t="str">
        <f>"Jusqu'à "&amp;E16</f>
        <v>Jusqu'à 9</v>
      </c>
      <c r="D16" s="63">
        <v>1</v>
      </c>
      <c r="E16" s="63">
        <v>9</v>
      </c>
      <c r="F16" s="63">
        <f>IF($B$5&gt;E16,E16-D16+1,$B$5-D16+1)</f>
        <v>9</v>
      </c>
      <c r="G16" s="72">
        <f>F16*H16</f>
        <v>0</v>
      </c>
      <c r="H16" s="65">
        <v>0</v>
      </c>
      <c r="I16" s="2" t="s">
        <v>7</v>
      </c>
      <c r="J16" s="63">
        <v>1</v>
      </c>
      <c r="K16" s="63">
        <v>4</v>
      </c>
      <c r="L16" s="63">
        <f>IF($B$5&gt;K16,K16-J16+1,$B$5-J16+1)</f>
        <v>4</v>
      </c>
      <c r="M16" s="72">
        <f>L16*N16</f>
        <v>0</v>
      </c>
      <c r="N16" s="65">
        <v>0</v>
      </c>
      <c r="O16" s="2" t="s">
        <v>8</v>
      </c>
      <c r="P16" s="63">
        <v>1</v>
      </c>
      <c r="Q16" s="63">
        <v>40</v>
      </c>
      <c r="R16" s="63">
        <f>IF($B$5&gt;Q16,Q16-P16+1,$B$5-P16+1)</f>
        <v>40</v>
      </c>
      <c r="S16" s="72">
        <f>R16*T16</f>
        <v>40</v>
      </c>
      <c r="T16" s="65">
        <v>1</v>
      </c>
      <c r="U16" s="2" t="s">
        <v>8</v>
      </c>
      <c r="V16" s="63">
        <v>1</v>
      </c>
      <c r="W16" s="63">
        <v>40</v>
      </c>
      <c r="X16" s="63">
        <f>IF($B$5&gt;W16,W16-V16+1,$B$5-V16+1)</f>
        <v>40</v>
      </c>
      <c r="Y16" s="72">
        <f>X16*Z16</f>
        <v>40</v>
      </c>
      <c r="Z16" s="65">
        <v>1</v>
      </c>
      <c r="AA16" s="2" t="s">
        <v>8</v>
      </c>
      <c r="AB16" s="63">
        <v>1</v>
      </c>
      <c r="AC16" s="63">
        <v>40</v>
      </c>
      <c r="AD16" s="63">
        <f>IF($B$5&gt;AC16,AC16-AB16+1,$B$5-AB16+1)</f>
        <v>40</v>
      </c>
      <c r="AE16" s="72">
        <f>AD16*AF16</f>
        <v>40</v>
      </c>
      <c r="AF16" s="65">
        <v>1</v>
      </c>
      <c r="AG16" s="2" t="s">
        <v>8</v>
      </c>
      <c r="AH16" s="63">
        <v>1</v>
      </c>
      <c r="AI16" s="63">
        <v>40</v>
      </c>
      <c r="AJ16" s="63">
        <f>IF($B$5&gt;AI16,AI16-AH16+1,$B$5-AH16+1)</f>
        <v>40</v>
      </c>
      <c r="AK16" s="72">
        <f>AJ16*AL16</f>
        <v>40</v>
      </c>
      <c r="AL16" s="65">
        <v>1</v>
      </c>
      <c r="AM16" s="2" t="s">
        <v>8</v>
      </c>
      <c r="AN16" s="63">
        <v>1</v>
      </c>
      <c r="AO16" s="63">
        <v>40</v>
      </c>
      <c r="AP16" s="63">
        <f>IF($B$5&gt;AO16,AO16-AN16+1,$B$5-AN16+1)</f>
        <v>40</v>
      </c>
      <c r="AQ16" s="72">
        <f>AP16*AR16</f>
        <v>40</v>
      </c>
      <c r="AR16" s="65">
        <v>1</v>
      </c>
    </row>
    <row r="17" spans="2:44" ht="17" thickBot="1" x14ac:dyDescent="0.25">
      <c r="B17" s="68"/>
      <c r="C17" s="71" t="str">
        <f>"De "&amp;D17&amp;" à "&amp;E17</f>
        <v>De 10 à 50</v>
      </c>
      <c r="D17" s="63">
        <v>10</v>
      </c>
      <c r="E17" s="63">
        <v>50</v>
      </c>
      <c r="F17" s="63">
        <f>IF($B$5&gt;E17,E17-D17+1,IF($B$5-D17+1&lt;0,0,$B$5-D17+1))</f>
        <v>41</v>
      </c>
      <c r="G17" s="72">
        <f t="shared" ref="G17:G18" si="5">F17*H17+G16</f>
        <v>41</v>
      </c>
      <c r="H17" s="64">
        <v>1</v>
      </c>
      <c r="I17" s="2" t="s">
        <v>9</v>
      </c>
      <c r="J17" s="63">
        <v>5</v>
      </c>
      <c r="K17" s="63">
        <v>45</v>
      </c>
      <c r="L17" s="63">
        <f>IF($B$5&gt;K17,K17-J17+1,IF($B$5-J17+1&lt;0,0,$B$5-J17+1))</f>
        <v>41</v>
      </c>
      <c r="M17" s="72">
        <f t="shared" ref="M17:M23" si="6">L17*N17+M16</f>
        <v>41</v>
      </c>
      <c r="N17" s="64">
        <v>1</v>
      </c>
      <c r="O17" s="2" t="s">
        <v>10</v>
      </c>
      <c r="P17" s="63">
        <v>41</v>
      </c>
      <c r="Q17" s="63">
        <v>48</v>
      </c>
      <c r="R17" s="63">
        <f>IF($B$5&gt;Q17,Q17-P17+1,IF($B$5-P17+1&lt;0,0,$B$5-P17+1))</f>
        <v>8</v>
      </c>
      <c r="S17" s="72">
        <f t="shared" ref="S17:S23" si="7">R17*T17+S16</f>
        <v>56</v>
      </c>
      <c r="T17" s="64">
        <v>2</v>
      </c>
      <c r="U17" s="2" t="s">
        <v>10</v>
      </c>
      <c r="V17" s="63">
        <v>41</v>
      </c>
      <c r="W17" s="63">
        <v>48</v>
      </c>
      <c r="X17" s="63">
        <f>IF($B$5&gt;W17,W17-V17+1,IF($B$5-V17+1&lt;0,0,$B$5-V17+1))</f>
        <v>8</v>
      </c>
      <c r="Y17" s="72">
        <f t="shared" ref="Y17:Y23" si="8">X17*Z17+Y16</f>
        <v>56</v>
      </c>
      <c r="Z17" s="64">
        <v>2</v>
      </c>
      <c r="AA17" s="2" t="s">
        <v>10</v>
      </c>
      <c r="AB17" s="63">
        <v>41</v>
      </c>
      <c r="AC17" s="63">
        <v>48</v>
      </c>
      <c r="AD17" s="63">
        <f>IF($B$5&gt;AC17,AC17-AB17+1,IF($B$5-AB17+1&lt;0,0,$B$5-AB17+1))</f>
        <v>8</v>
      </c>
      <c r="AE17" s="72">
        <f t="shared" ref="AE17:AE23" si="9">AD17*AF17+AE16</f>
        <v>56</v>
      </c>
      <c r="AF17" s="64">
        <v>2</v>
      </c>
      <c r="AG17" s="2" t="s">
        <v>10</v>
      </c>
      <c r="AH17" s="63">
        <v>41</v>
      </c>
      <c r="AI17" s="63">
        <v>48</v>
      </c>
      <c r="AJ17" s="63">
        <f>IF($B$5&gt;AI17,AI17-AH17+1,IF($B$5-AH17+1&lt;0,0,$B$5-AH17+1))</f>
        <v>8</v>
      </c>
      <c r="AK17" s="72">
        <f t="shared" ref="AK17:AK23" si="10">AJ17*AL17+AK16</f>
        <v>56</v>
      </c>
      <c r="AL17" s="64">
        <v>2</v>
      </c>
      <c r="AM17" s="2" t="s">
        <v>10</v>
      </c>
      <c r="AN17" s="63">
        <v>41</v>
      </c>
      <c r="AO17" s="63">
        <v>48</v>
      </c>
      <c r="AP17" s="63">
        <f>IF($B$5&gt;AO17,AO17-AN17+1,IF($B$5-AN17+1&lt;0,0,$B$5-AN17+1))</f>
        <v>8</v>
      </c>
      <c r="AQ17" s="72">
        <f t="shared" ref="AQ17:AQ23" si="11">AP17*AR17+AQ16</f>
        <v>56</v>
      </c>
      <c r="AR17" s="64">
        <v>2</v>
      </c>
    </row>
    <row r="18" spans="2:44" ht="17" thickBot="1" x14ac:dyDescent="0.25">
      <c r="B18" s="68"/>
      <c r="C18" s="71" t="str">
        <f t="shared" ref="C18:C23" si="12">"De "&amp;D18&amp;" à "&amp;E18</f>
        <v>De 51 à 58</v>
      </c>
      <c r="D18" s="63">
        <v>51</v>
      </c>
      <c r="E18" s="63">
        <v>58</v>
      </c>
      <c r="F18" s="63">
        <f>IF($B$5&gt;E18,E18-D18+1,IF($B$5-D18+1&lt;0,0,$B$5-D18+1))</f>
        <v>8</v>
      </c>
      <c r="G18" s="72">
        <f t="shared" si="5"/>
        <v>57</v>
      </c>
      <c r="H18" s="65">
        <v>2</v>
      </c>
      <c r="I18" s="2" t="s">
        <v>11</v>
      </c>
      <c r="J18" s="63">
        <v>46</v>
      </c>
      <c r="K18" s="63">
        <v>53</v>
      </c>
      <c r="L18" s="63">
        <f>IF($B$5&gt;K18,K18-J18+1,IF($B$5-J18+1&lt;0,0,$B$5-J18+1))</f>
        <v>8</v>
      </c>
      <c r="M18" s="72">
        <f t="shared" si="6"/>
        <v>57</v>
      </c>
      <c r="N18" s="65">
        <v>2</v>
      </c>
      <c r="O18" s="2" t="s">
        <v>12</v>
      </c>
      <c r="P18" s="63">
        <v>49</v>
      </c>
      <c r="Q18" s="63">
        <v>80</v>
      </c>
      <c r="R18" s="63">
        <f>IF($B$5&gt;Q18,Q18-P18+1,IF($B$5-P18+1&lt;0,0,$B$5-P18+1))</f>
        <v>32</v>
      </c>
      <c r="S18" s="72">
        <f t="shared" si="7"/>
        <v>152</v>
      </c>
      <c r="T18" s="65">
        <v>3</v>
      </c>
      <c r="U18" s="2" t="s">
        <v>12</v>
      </c>
      <c r="V18" s="63">
        <v>49</v>
      </c>
      <c r="W18" s="63">
        <v>80</v>
      </c>
      <c r="X18" s="63">
        <f>IF($B$5&gt;W18,W18-V18+1,IF($B$5-V18+1&lt;0,0,$B$5-V18+1))</f>
        <v>32</v>
      </c>
      <c r="Y18" s="72">
        <f t="shared" si="8"/>
        <v>152</v>
      </c>
      <c r="Z18" s="65">
        <v>3</v>
      </c>
      <c r="AA18" s="2" t="s">
        <v>12</v>
      </c>
      <c r="AB18" s="63">
        <v>49</v>
      </c>
      <c r="AC18" s="63">
        <v>80</v>
      </c>
      <c r="AD18" s="63">
        <f>IF($B$5&gt;AC18,AC18-AB18+1,IF($B$5-AB18+1&lt;0,0,$B$5-AB18+1))</f>
        <v>32</v>
      </c>
      <c r="AE18" s="72">
        <f t="shared" si="9"/>
        <v>152</v>
      </c>
      <c r="AF18" s="65">
        <v>3</v>
      </c>
      <c r="AG18" s="2" t="s">
        <v>12</v>
      </c>
      <c r="AH18" s="63">
        <v>49</v>
      </c>
      <c r="AI18" s="63">
        <v>80</v>
      </c>
      <c r="AJ18" s="63">
        <f>IF($B$5&gt;AI18,AI18-AH18+1,IF($B$5-AH18+1&lt;0,0,$B$5-AH18+1))</f>
        <v>32</v>
      </c>
      <c r="AK18" s="72">
        <f t="shared" si="10"/>
        <v>152</v>
      </c>
      <c r="AL18" s="65">
        <v>3</v>
      </c>
      <c r="AM18" s="2" t="s">
        <v>12</v>
      </c>
      <c r="AN18" s="63">
        <v>49</v>
      </c>
      <c r="AO18" s="63">
        <v>80</v>
      </c>
      <c r="AP18" s="63">
        <f>IF($B$5&gt;AO18,AO18-AN18+1,IF($B$5-AN18+1&lt;0,0,$B$5-AN18+1))</f>
        <v>32</v>
      </c>
      <c r="AQ18" s="72">
        <f t="shared" si="11"/>
        <v>152</v>
      </c>
      <c r="AR18" s="65">
        <v>3</v>
      </c>
    </row>
    <row r="19" spans="2:44" ht="17" thickBot="1" x14ac:dyDescent="0.25">
      <c r="B19" s="68"/>
      <c r="C19" s="71" t="str">
        <f t="shared" si="12"/>
        <v>De 59 à 90</v>
      </c>
      <c r="D19" s="63">
        <v>59</v>
      </c>
      <c r="E19" s="63">
        <v>90</v>
      </c>
      <c r="F19" s="63">
        <f>IF($B$5&gt;E19,E19-D19+1,IF($B$5-D19+1&lt;0,0,$B$5-D19+1))</f>
        <v>32</v>
      </c>
      <c r="G19" s="72">
        <f t="shared" ref="G19" si="13">F19*H19+G18</f>
        <v>153</v>
      </c>
      <c r="H19" s="64">
        <v>3</v>
      </c>
      <c r="I19" s="2" t="s">
        <v>13</v>
      </c>
      <c r="J19" s="63">
        <v>54</v>
      </c>
      <c r="K19" s="63">
        <v>85</v>
      </c>
      <c r="L19" s="63">
        <f>IF($B$5&gt;K19,K19-J19+1,IF($B$5-J19+1&lt;0,0,$B$5-J19+1))</f>
        <v>32</v>
      </c>
      <c r="M19" s="72">
        <f t="shared" si="6"/>
        <v>153</v>
      </c>
      <c r="N19" s="64">
        <v>3</v>
      </c>
      <c r="O19" s="2" t="s">
        <v>14</v>
      </c>
      <c r="P19" s="63">
        <v>81</v>
      </c>
      <c r="Q19" s="63">
        <v>100</v>
      </c>
      <c r="R19" s="63">
        <f>IF($B$5&gt;Q19,Q19-P19+1,IF($B$5-P19+1&lt;0,0,$B$5-P19+1))</f>
        <v>20</v>
      </c>
      <c r="S19" s="72">
        <f t="shared" si="7"/>
        <v>232</v>
      </c>
      <c r="T19" s="64">
        <v>4</v>
      </c>
      <c r="U19" s="2" t="s">
        <v>14</v>
      </c>
      <c r="V19" s="63">
        <v>81</v>
      </c>
      <c r="W19" s="63">
        <v>100</v>
      </c>
      <c r="X19" s="63">
        <f>IF($B$5&gt;W19,W19-V19+1,IF($B$5-V19+1&lt;0,0,$B$5-V19+1))</f>
        <v>20</v>
      </c>
      <c r="Y19" s="72">
        <f t="shared" si="8"/>
        <v>232</v>
      </c>
      <c r="Z19" s="64">
        <v>4</v>
      </c>
      <c r="AA19" s="2" t="s">
        <v>14</v>
      </c>
      <c r="AB19" s="63">
        <v>81</v>
      </c>
      <c r="AC19" s="63">
        <v>100</v>
      </c>
      <c r="AD19" s="63">
        <f>IF($B$5&gt;AC19,AC19-AB19+1,IF($B$5-AB19+1&lt;0,0,$B$5-AB19+1))</f>
        <v>20</v>
      </c>
      <c r="AE19" s="72">
        <f t="shared" si="9"/>
        <v>232</v>
      </c>
      <c r="AF19" s="64">
        <v>4</v>
      </c>
      <c r="AG19" s="2" t="s">
        <v>14</v>
      </c>
      <c r="AH19" s="63">
        <v>81</v>
      </c>
      <c r="AI19" s="63">
        <v>100</v>
      </c>
      <c r="AJ19" s="63">
        <f>IF($B$5&gt;AI19,AI19-AH19+1,IF($B$5-AH19+1&lt;0,0,$B$5-AH19+1))</f>
        <v>20</v>
      </c>
      <c r="AK19" s="72">
        <f t="shared" si="10"/>
        <v>232</v>
      </c>
      <c r="AL19" s="64">
        <v>4</v>
      </c>
      <c r="AM19" s="2" t="s">
        <v>14</v>
      </c>
      <c r="AN19" s="63">
        <v>81</v>
      </c>
      <c r="AO19" s="63">
        <v>100</v>
      </c>
      <c r="AP19" s="63">
        <f>IF($B$5&gt;AO19,AO19-AN19+1,IF($B$5-AN19+1&lt;0,0,$B$5-AN19+1))</f>
        <v>20</v>
      </c>
      <c r="AQ19" s="72">
        <f t="shared" si="11"/>
        <v>232</v>
      </c>
      <c r="AR19" s="64">
        <v>4</v>
      </c>
    </row>
    <row r="20" spans="2:44" ht="17" thickBot="1" x14ac:dyDescent="0.25">
      <c r="B20" s="68"/>
      <c r="C20" s="71" t="str">
        <f t="shared" si="12"/>
        <v>De 91 à 110</v>
      </c>
      <c r="D20" s="63">
        <v>91</v>
      </c>
      <c r="E20" s="63">
        <v>110</v>
      </c>
      <c r="F20" s="63">
        <f>IF($B$5&gt;E20,E20-D20+1,IF($B$5-D20+1&lt;0,0,$B$5-D20+1))</f>
        <v>20</v>
      </c>
      <c r="G20" s="72">
        <f t="shared" ref="G20:G22" si="14">F20*H20+G19</f>
        <v>233</v>
      </c>
      <c r="H20" s="65">
        <v>4</v>
      </c>
      <c r="I20" s="2" t="s">
        <v>15</v>
      </c>
      <c r="J20" s="63">
        <v>86</v>
      </c>
      <c r="K20" s="63">
        <v>105</v>
      </c>
      <c r="L20" s="63">
        <f>IF($B$5&gt;K20,K20-J20+1,IF($B$5-J20+1&lt;0,0,$B$5-J20+1))</f>
        <v>20</v>
      </c>
      <c r="M20" s="72">
        <f t="shared" si="6"/>
        <v>233</v>
      </c>
      <c r="N20" s="65">
        <v>4</v>
      </c>
      <c r="O20" s="2" t="s">
        <v>16</v>
      </c>
      <c r="P20" s="63">
        <v>101</v>
      </c>
      <c r="Q20" s="63">
        <v>120</v>
      </c>
      <c r="R20" s="63">
        <f>IF($B$5&gt;Q20,Q20-P20+1,IF($B$5-P20+1&lt;0,0,$B$5-P20+1))</f>
        <v>20</v>
      </c>
      <c r="S20" s="72">
        <f t="shared" si="7"/>
        <v>432</v>
      </c>
      <c r="T20" s="65">
        <v>10</v>
      </c>
      <c r="U20" s="2" t="s">
        <v>16</v>
      </c>
      <c r="V20" s="63">
        <v>101</v>
      </c>
      <c r="W20" s="63">
        <v>120</v>
      </c>
      <c r="X20" s="63">
        <f>IF($B$5&gt;W20,W20-V20+1,IF($B$5-V20+1&lt;0,0,$B$5-V20+1))</f>
        <v>20</v>
      </c>
      <c r="Y20" s="72">
        <f t="shared" si="8"/>
        <v>432</v>
      </c>
      <c r="Z20" s="65">
        <v>10</v>
      </c>
      <c r="AA20" s="2" t="s">
        <v>16</v>
      </c>
      <c r="AB20" s="63">
        <v>101</v>
      </c>
      <c r="AC20" s="63">
        <v>120</v>
      </c>
      <c r="AD20" s="63">
        <f>IF($B$5&gt;AC20,AC20-AB20+1,IF($B$5-AB20+1&lt;0,0,$B$5-AB20+1))</f>
        <v>20</v>
      </c>
      <c r="AE20" s="72">
        <f t="shared" si="9"/>
        <v>432</v>
      </c>
      <c r="AF20" s="65">
        <v>10</v>
      </c>
      <c r="AG20" s="2" t="s">
        <v>16</v>
      </c>
      <c r="AH20" s="63">
        <v>101</v>
      </c>
      <c r="AI20" s="63">
        <v>120</v>
      </c>
      <c r="AJ20" s="63">
        <f>IF($B$5&gt;AI20,AI20-AH20+1,IF($B$5-AH20+1&lt;0,0,$B$5-AH20+1))</f>
        <v>20</v>
      </c>
      <c r="AK20" s="72">
        <f t="shared" si="10"/>
        <v>432</v>
      </c>
      <c r="AL20" s="65">
        <v>10</v>
      </c>
      <c r="AM20" s="2" t="s">
        <v>16</v>
      </c>
      <c r="AN20" s="63">
        <v>101</v>
      </c>
      <c r="AO20" s="63">
        <v>120</v>
      </c>
      <c r="AP20" s="63">
        <f>IF($B$5&gt;AO20,AO20-AN20+1,IF($B$5-AN20+1&lt;0,0,$B$5-AN20+1))</f>
        <v>20</v>
      </c>
      <c r="AQ20" s="72">
        <f t="shared" si="11"/>
        <v>432</v>
      </c>
      <c r="AR20" s="65">
        <v>10</v>
      </c>
    </row>
    <row r="21" spans="2:44" ht="18" customHeight="1" thickBot="1" x14ac:dyDescent="0.3">
      <c r="B21" s="5" t="s">
        <v>29</v>
      </c>
      <c r="C21" s="71" t="str">
        <f t="shared" si="12"/>
        <v>De 111 à 130</v>
      </c>
      <c r="D21" s="63">
        <v>111</v>
      </c>
      <c r="E21" s="63">
        <v>130</v>
      </c>
      <c r="F21" s="63">
        <f>IF($B$5&gt;E21,E21-D21+1,IF($B$5-D21+1&lt;0,0,$B$5-D21+1))</f>
        <v>13</v>
      </c>
      <c r="G21" s="72">
        <f t="shared" si="14"/>
        <v>363</v>
      </c>
      <c r="H21" s="64">
        <v>10</v>
      </c>
      <c r="I21" s="2" t="s">
        <v>17</v>
      </c>
      <c r="J21" s="63">
        <v>106</v>
      </c>
      <c r="K21" s="63">
        <v>125</v>
      </c>
      <c r="L21" s="63">
        <f>IF($B$5&gt;K21,K21-J21+1,IF($B$5-J21+1&lt;0,0,$B$5-J21+1))</f>
        <v>18</v>
      </c>
      <c r="M21" s="72">
        <f t="shared" si="6"/>
        <v>413</v>
      </c>
      <c r="N21" s="64">
        <v>10</v>
      </c>
      <c r="O21" s="2" t="s">
        <v>18</v>
      </c>
      <c r="P21" s="63">
        <v>121</v>
      </c>
      <c r="Q21" s="63">
        <v>140</v>
      </c>
      <c r="R21" s="63">
        <f>IF($B$5&gt;Q21,Q21-P21+1,IF($B$5-P21+1&lt;0,0,$B$5-P21+1))</f>
        <v>3</v>
      </c>
      <c r="S21" s="72">
        <f t="shared" si="7"/>
        <v>582</v>
      </c>
      <c r="T21" s="64">
        <v>50</v>
      </c>
      <c r="U21" s="2" t="s">
        <v>18</v>
      </c>
      <c r="V21" s="63">
        <v>121</v>
      </c>
      <c r="W21" s="63">
        <v>140</v>
      </c>
      <c r="X21" s="63">
        <f>IF($B$5&gt;W21,W21-V21+1,IF($B$5-V21+1&lt;0,0,$B$5-V21+1))</f>
        <v>3</v>
      </c>
      <c r="Y21" s="72">
        <f t="shared" si="8"/>
        <v>582</v>
      </c>
      <c r="Z21" s="64">
        <v>50</v>
      </c>
      <c r="AA21" s="2" t="s">
        <v>18</v>
      </c>
      <c r="AB21" s="63">
        <v>121</v>
      </c>
      <c r="AC21" s="63">
        <v>140</v>
      </c>
      <c r="AD21" s="63">
        <f>IF($B$5&gt;AC21,AC21-AB21+1,IF($B$5-AB21+1&lt;0,0,$B$5-AB21+1))</f>
        <v>3</v>
      </c>
      <c r="AE21" s="72">
        <f t="shared" si="9"/>
        <v>582</v>
      </c>
      <c r="AF21" s="64">
        <v>50</v>
      </c>
      <c r="AG21" s="2" t="s">
        <v>18</v>
      </c>
      <c r="AH21" s="63">
        <v>121</v>
      </c>
      <c r="AI21" s="63">
        <v>140</v>
      </c>
      <c r="AJ21" s="63">
        <f>IF($B$5&gt;AI21,AI21-AH21+1,IF($B$5-AH21+1&lt;0,0,$B$5-AH21+1))</f>
        <v>3</v>
      </c>
      <c r="AK21" s="72">
        <f t="shared" si="10"/>
        <v>582</v>
      </c>
      <c r="AL21" s="64">
        <v>50</v>
      </c>
      <c r="AM21" s="2" t="s">
        <v>18</v>
      </c>
      <c r="AN21" s="63">
        <v>121</v>
      </c>
      <c r="AO21" s="63">
        <v>140</v>
      </c>
      <c r="AP21" s="63">
        <f>IF($B$5&gt;AO21,AO21-AN21+1,IF($B$5-AN21+1&lt;0,0,$B$5-AN21+1))</f>
        <v>3</v>
      </c>
      <c r="AQ21" s="72">
        <f t="shared" si="11"/>
        <v>582</v>
      </c>
      <c r="AR21" s="64">
        <v>50</v>
      </c>
    </row>
    <row r="22" spans="2:44" ht="17" thickBot="1" x14ac:dyDescent="0.25">
      <c r="C22" s="71" t="str">
        <f t="shared" si="12"/>
        <v>De 131 à 150</v>
      </c>
      <c r="D22" s="63">
        <v>131</v>
      </c>
      <c r="E22" s="63">
        <v>150</v>
      </c>
      <c r="F22" s="63">
        <f>IF($B$5&gt;E22,E22-D22+1,IF($B$5-D22+1&lt;0,0,$B$5-D22+1))</f>
        <v>0</v>
      </c>
      <c r="G22" s="72">
        <f t="shared" si="14"/>
        <v>363</v>
      </c>
      <c r="H22" s="65">
        <v>50</v>
      </c>
      <c r="I22" s="2" t="s">
        <v>19</v>
      </c>
      <c r="J22" s="63">
        <v>126</v>
      </c>
      <c r="K22" s="63">
        <v>145</v>
      </c>
      <c r="L22" s="63">
        <f>IF($B$5&gt;K22,K22-J22+1,IF($B$5-J22+1&lt;0,0,$B$5-J22+1))</f>
        <v>0</v>
      </c>
      <c r="M22" s="72">
        <f t="shared" si="6"/>
        <v>413</v>
      </c>
      <c r="N22" s="65">
        <v>50</v>
      </c>
      <c r="O22" s="2" t="s">
        <v>20</v>
      </c>
      <c r="P22" s="63">
        <v>141</v>
      </c>
      <c r="Q22" s="63">
        <v>160</v>
      </c>
      <c r="R22" s="63">
        <f>IF($B$5&gt;Q22,Q22-P22+1,IF($B$5-P22+1&lt;0,0,$B$5-P22+1))</f>
        <v>0</v>
      </c>
      <c r="S22" s="72">
        <f t="shared" si="7"/>
        <v>582</v>
      </c>
      <c r="T22" s="65">
        <v>60</v>
      </c>
      <c r="U22" s="2" t="s">
        <v>20</v>
      </c>
      <c r="V22" s="63">
        <v>141</v>
      </c>
      <c r="W22" s="63">
        <v>160</v>
      </c>
      <c r="X22" s="63">
        <f>IF($B$5&gt;W22,W22-V22+1,IF($B$5-V22+1&lt;0,0,$B$5-V22+1))</f>
        <v>0</v>
      </c>
      <c r="Y22" s="72">
        <f t="shared" si="8"/>
        <v>582</v>
      </c>
      <c r="Z22" s="65">
        <v>60</v>
      </c>
      <c r="AA22" s="2" t="s">
        <v>20</v>
      </c>
      <c r="AB22" s="63">
        <v>141</v>
      </c>
      <c r="AC22" s="63">
        <v>160</v>
      </c>
      <c r="AD22" s="63">
        <f>IF($B$5&gt;AC22,AC22-AB22+1,IF($B$5-AB22+1&lt;0,0,$B$5-AB22+1))</f>
        <v>0</v>
      </c>
      <c r="AE22" s="72">
        <f t="shared" si="9"/>
        <v>582</v>
      </c>
      <c r="AF22" s="65">
        <v>60</v>
      </c>
      <c r="AG22" s="2" t="s">
        <v>20</v>
      </c>
      <c r="AH22" s="63">
        <v>141</v>
      </c>
      <c r="AI22" s="63">
        <v>160</v>
      </c>
      <c r="AJ22" s="63">
        <f>IF($B$5&gt;AI22,AI22-AH22+1,IF($B$5-AH22+1&lt;0,0,$B$5-AH22+1))</f>
        <v>0</v>
      </c>
      <c r="AK22" s="72">
        <f t="shared" si="10"/>
        <v>582</v>
      </c>
      <c r="AL22" s="65">
        <v>60</v>
      </c>
      <c r="AM22" s="2" t="s">
        <v>20</v>
      </c>
      <c r="AN22" s="63">
        <v>141</v>
      </c>
      <c r="AO22" s="63">
        <v>160</v>
      </c>
      <c r="AP22" s="63">
        <f>IF($B$5&gt;AO22,AO22-AN22+1,IF($B$5-AN22+1&lt;0,0,$B$5-AN22+1))</f>
        <v>0</v>
      </c>
      <c r="AQ22" s="72">
        <f t="shared" si="11"/>
        <v>582</v>
      </c>
      <c r="AR22" s="65">
        <v>60</v>
      </c>
    </row>
    <row r="23" spans="2:44" ht="17" thickBot="1" x14ac:dyDescent="0.25">
      <c r="C23" s="71" t="str">
        <f t="shared" si="12"/>
        <v>De 151 à 170</v>
      </c>
      <c r="D23" s="63">
        <v>151</v>
      </c>
      <c r="E23" s="63">
        <v>170</v>
      </c>
      <c r="F23" s="63">
        <f>IF($B$5&gt;E23,E23-D23+1,IF($B$5-D23+1&lt;0,0,$B$5-D23+1))</f>
        <v>0</v>
      </c>
      <c r="G23" s="72">
        <f t="shared" ref="G23" si="15">F23*H23+G22</f>
        <v>363</v>
      </c>
      <c r="H23" s="64">
        <v>60</v>
      </c>
      <c r="I23" s="2" t="s">
        <v>21</v>
      </c>
      <c r="J23" s="63">
        <v>146</v>
      </c>
      <c r="K23" s="63">
        <v>165</v>
      </c>
      <c r="L23" s="63">
        <f>IF($B$5&gt;K23,K23-J23+1,IF($B$5-J23+1&lt;0,0,$B$5-J23+1))</f>
        <v>0</v>
      </c>
      <c r="M23" s="72">
        <f t="shared" si="6"/>
        <v>413</v>
      </c>
      <c r="N23" s="64">
        <v>60</v>
      </c>
      <c r="O23" s="2" t="s">
        <v>22</v>
      </c>
      <c r="P23" s="63">
        <v>161</v>
      </c>
      <c r="Q23" s="63">
        <v>999999</v>
      </c>
      <c r="R23" s="63">
        <f>IF($B$5&gt;Q23,Q23-P23+1,IF($B$5-P23+1&lt;0,0,$B$5-P23+1))</f>
        <v>0</v>
      </c>
      <c r="S23" s="72">
        <f t="shared" si="7"/>
        <v>582</v>
      </c>
      <c r="T23" s="64">
        <v>65</v>
      </c>
      <c r="U23" s="2" t="s">
        <v>22</v>
      </c>
      <c r="V23" s="63">
        <v>161</v>
      </c>
      <c r="W23" s="63">
        <v>999999</v>
      </c>
      <c r="X23" s="63">
        <f>IF($B$5&gt;W23,W23-V23+1,IF($B$5-V23+1&lt;0,0,$B$5-V23+1))</f>
        <v>0</v>
      </c>
      <c r="Y23" s="72">
        <f t="shared" si="8"/>
        <v>582</v>
      </c>
      <c r="Z23" s="64">
        <v>65</v>
      </c>
      <c r="AA23" s="2" t="s">
        <v>22</v>
      </c>
      <c r="AB23" s="63">
        <v>161</v>
      </c>
      <c r="AC23" s="63">
        <v>999999</v>
      </c>
      <c r="AD23" s="63">
        <f>IF($B$5&gt;AC23,AC23-AB23+1,IF($B$5-AB23+1&lt;0,0,$B$5-AB23+1))</f>
        <v>0</v>
      </c>
      <c r="AE23" s="72">
        <f t="shared" si="9"/>
        <v>582</v>
      </c>
      <c r="AF23" s="64">
        <v>65</v>
      </c>
      <c r="AG23" s="2" t="s">
        <v>22</v>
      </c>
      <c r="AH23" s="63">
        <v>161</v>
      </c>
      <c r="AI23" s="63">
        <v>999999</v>
      </c>
      <c r="AJ23" s="63">
        <f>IF($B$5&gt;AI23,AI23-AH23+1,IF($B$5-AH23+1&lt;0,0,$B$5-AH23+1))</f>
        <v>0</v>
      </c>
      <c r="AK23" s="72">
        <f t="shared" si="10"/>
        <v>582</v>
      </c>
      <c r="AL23" s="64">
        <v>65</v>
      </c>
      <c r="AM23" s="2" t="s">
        <v>22</v>
      </c>
      <c r="AN23" s="63">
        <v>161</v>
      </c>
      <c r="AO23" s="63">
        <v>999999</v>
      </c>
      <c r="AP23" s="63">
        <f>IF($B$5&gt;AO23,AO23-AN23+1,IF($B$5-AN23+1&lt;0,0,$B$5-AN23+1))</f>
        <v>0</v>
      </c>
      <c r="AQ23" s="72">
        <f t="shared" si="11"/>
        <v>582</v>
      </c>
      <c r="AR23" s="64">
        <v>65</v>
      </c>
    </row>
    <row r="24" spans="2:44" x14ac:dyDescent="0.2">
      <c r="C24" s="73" t="str">
        <f>"A partir de "&amp;D24</f>
        <v>A partir de 171</v>
      </c>
      <c r="D24" s="66">
        <v>171</v>
      </c>
      <c r="E24" s="66">
        <v>999999</v>
      </c>
      <c r="F24" s="66">
        <f>IF($B$5&gt;E24,E24-D24+1,IF($B$5-D24+1&lt;0,0,$B$5-D24+1))</f>
        <v>0</v>
      </c>
      <c r="G24" s="74">
        <f>IF(F24*H24+G23=G23,G23,F24*H24+G23)</f>
        <v>363</v>
      </c>
      <c r="H24" s="75">
        <v>65</v>
      </c>
      <c r="I24" s="1" t="s">
        <v>23</v>
      </c>
      <c r="J24" s="66">
        <v>166</v>
      </c>
      <c r="K24" s="66">
        <v>999999</v>
      </c>
      <c r="L24" s="66">
        <f>IF($B$5&gt;K24,K24-J24+1,IF($B$5-J24+1&lt;0,0,$B$5-J24+1))</f>
        <v>0</v>
      </c>
      <c r="M24" s="74">
        <f>IF(L24*N24+M23=M23,M23,L24*N24+M23)</f>
        <v>413</v>
      </c>
      <c r="N24" s="75">
        <v>65</v>
      </c>
      <c r="O24" s="1"/>
      <c r="P24" s="66"/>
      <c r="Q24" s="66"/>
      <c r="R24" s="66"/>
      <c r="S24" s="74">
        <f>IF(R24*T24+S23=S23,S23,R24*T24+S23)</f>
        <v>582</v>
      </c>
      <c r="T24" s="76"/>
      <c r="U24" s="1"/>
      <c r="V24" s="66"/>
      <c r="W24" s="66"/>
      <c r="X24" s="66"/>
      <c r="Y24" s="74"/>
      <c r="Z24" s="76"/>
      <c r="AA24" s="1"/>
      <c r="AB24" s="66"/>
      <c r="AC24" s="66"/>
      <c r="AD24" s="66"/>
      <c r="AE24" s="74"/>
      <c r="AF24" s="76"/>
      <c r="AG24" s="1"/>
      <c r="AH24" s="66"/>
      <c r="AI24" s="66"/>
      <c r="AJ24" s="66"/>
      <c r="AK24" s="74"/>
      <c r="AL24" s="76"/>
      <c r="AM24" s="1"/>
      <c r="AN24" s="66"/>
      <c r="AO24" s="66"/>
      <c r="AP24" s="66"/>
      <c r="AQ24" s="74"/>
      <c r="AR24" s="76"/>
    </row>
    <row r="25" spans="2:44" s="51" customFormat="1" ht="22" x14ac:dyDescent="0.3">
      <c r="B25" s="77" t="s">
        <v>24</v>
      </c>
      <c r="G25" s="52">
        <f>MAX(G16:G24)</f>
        <v>363</v>
      </c>
      <c r="H25" s="53"/>
      <c r="M25" s="54">
        <f>MAX(M16:M24)</f>
        <v>413</v>
      </c>
      <c r="N25" s="53"/>
      <c r="S25" s="55">
        <f>MAX(S16:S23)</f>
        <v>582</v>
      </c>
      <c r="T25" s="53"/>
      <c r="Y25" s="56">
        <f>MAX(Y16:Y23)</f>
        <v>582</v>
      </c>
      <c r="Z25" s="53"/>
      <c r="AE25" s="57">
        <f>MAX(AE16:AE23)</f>
        <v>582</v>
      </c>
      <c r="AF25" s="53"/>
      <c r="AK25" s="58">
        <f>MAX(AK16:AK23)</f>
        <v>582</v>
      </c>
      <c r="AL25" s="53"/>
      <c r="AQ25" s="59">
        <f>MAX(AQ16:AQ23)</f>
        <v>582</v>
      </c>
      <c r="AR25" s="53"/>
    </row>
    <row r="26" spans="2:44" s="51" customFormat="1" ht="22" x14ac:dyDescent="0.3">
      <c r="B26" s="78" t="s">
        <v>25</v>
      </c>
      <c r="G26" s="60">
        <f>IF(VLOOKUP($B$7,$D$6:$E$8,2,FALSE)="E",0,IF(VLOOKUP($B$7,$D$6:$E$8,2,FALSE)=1,100,500))</f>
        <v>100</v>
      </c>
      <c r="M26" s="60">
        <f>IF(VLOOKUP($B$7,$D$6:$E$8,2,FALSE)="E",0,IF(VLOOKUP($B$7,$D$6:$E$8,2,FALSE)=1,100,500))</f>
        <v>100</v>
      </c>
      <c r="S26" s="60">
        <f>IF(VLOOKUP($B$7,$D$6:$E$8,2,FALSE)="E",0,IF(VLOOKUP($B$7,$D$6:$E$8,2,FALSE)=1,100,500))</f>
        <v>100</v>
      </c>
      <c r="Y26" s="60">
        <f>IF(VLOOKUP($B$7,$D$6:$E$8,2,FALSE)="E",0,IF(VLOOKUP($B$7,$D$6:$E$8,2,FALSE)=1,100,500))</f>
        <v>100</v>
      </c>
      <c r="AE26" s="60">
        <f>IF(VLOOKUP($B$7,$D$6:$E$8,2,FALSE)="E",0,IF(VLOOKUP($B$7,$D$6:$E$8,2,FALSE)=1,100,500))</f>
        <v>100</v>
      </c>
      <c r="AK26" s="60">
        <f>IF(VLOOKUP($B$7,$D$6:$E$8,2,FALSE)="E",0,IF(VLOOKUP($B$7,$D$6:$E$8,2,FALSE)=1,100,500))</f>
        <v>100</v>
      </c>
      <c r="AQ26" s="60">
        <f>IF(VLOOKUP($B$7,$D$6:$E$8,2,FALSE)="E",0,IF(VLOOKUP($B$7,$D$6:$E$8,2,FALSE)=1,100,500))</f>
        <v>100</v>
      </c>
    </row>
    <row r="27" spans="2:44" s="51" customFormat="1" ht="22" x14ac:dyDescent="0.3">
      <c r="B27" s="79" t="s">
        <v>26</v>
      </c>
      <c r="G27" s="61">
        <f>G25+G26</f>
        <v>463</v>
      </c>
      <c r="M27" s="61">
        <f>M25+M26</f>
        <v>513</v>
      </c>
      <c r="S27" s="61">
        <f>S25+S26</f>
        <v>682</v>
      </c>
      <c r="Y27" s="61">
        <f>Y25+Y26</f>
        <v>682</v>
      </c>
      <c r="AE27" s="61">
        <f>AE25+AE26</f>
        <v>682</v>
      </c>
      <c r="AK27" s="61">
        <f>AK25+AK26</f>
        <v>682</v>
      </c>
      <c r="AQ27" s="61">
        <f>AQ25+AQ26</f>
        <v>682</v>
      </c>
    </row>
    <row r="28" spans="2:44" s="51" customFormat="1" ht="27" customHeight="1" x14ac:dyDescent="0.3">
      <c r="B28" s="22" t="str">
        <f>"Soit au prorata "&amp;TEXT(INT(SUM(C28:AQ28)),"# ##0")&amp;" € sur la durée de détention"</f>
        <v>Soit au prorata 2 311 € sur la durée de détention</v>
      </c>
      <c r="F28" s="24" t="str">
        <f>IF(OR(G29&lt;&gt;"",AND(G28&lt;&gt;G27,G28&lt;&gt;0)),MAX(0,MIN(DATE(C12,12,31),DATE(YEAR($B$9)+INT($B$11/12),MONTH($B$9)+MOD($B$11,12),DAY($B$9)-1))-MAX(DATE(C12,1,1),$B$9)+1) &amp; " jours" &amp; CHAR(10) &amp; "----------" &amp; CHAR(10) &amp; IF(MOD(YEAR(C13),4)=0,IF(MOD(YEAR(C13),100)&lt;&gt;0,366,IF(MOD(YEAR(C13),400)=0,366,365)),365),"")</f>
        <v>342 jours
----------
365</v>
      </c>
      <c r="G28" s="62">
        <f>ROUND(G27*((IF(MAX(0,MIN(DATE(C12,12,31),DATE(YEAR($B$9)+INT($B$11/12),MONTH($B$9)+MOD($B$11,12),DAY($B$9)-1))-MAX(DATE(C12,1,1),$B$9)+1)&lt;=31,0,MAX(0,MIN(DATE(C12,12,31),DATE(YEAR($B$9)+INT($B$11/12),MONTH($B$9)+MOD($B$11,12),DAY($B$9)-1))-MAX(DATE(C12,1,1),$B$9)+1)))/(IF(MOD(YEAR(C13),4)=0,IF(MOD(YEAR(C13),100)&lt;&gt;0,366,IF(MOD(YEAR(C13),400)=0,366,365)),365))),0)</f>
        <v>434</v>
      </c>
      <c r="L28" s="24" t="str">
        <f>IF(OR(M29&lt;&gt;"",AND(M28&lt;&gt;M27,M28&lt;&gt;0)),MAX(0,MIN(DATE(I12,12,31),DATE(YEAR($B$9)+INT($B$11/12),MONTH($B$9)+MOD($B$11,12),DAY($B$9)-1))-MAX(DATE(I12,1,1),$B$9)+1) &amp; " jours" &amp; CHAR(10) &amp; "-------" &amp; CHAR(10) &amp; IF(MOD(YEAR(I13),4)=0,IF(MOD(YEAR(I13),100)&lt;&gt;0,366,IF(MOD(YEAR(I13),400)=0,366,365)),365),"")</f>
        <v/>
      </c>
      <c r="M28" s="62">
        <f>ROUND(M27*((IF(MAX(0,MIN(DATE(I12,12,31),DATE(YEAR($B$9)+INT($B$11/12),MONTH($B$9)+MOD($B$11,12),DAY($B$9)-1))-MAX(DATE(I12,1,1),$B$9)+1)&lt;=31,0,MAX(0,MIN(DATE(I12,12,31),DATE(YEAR($B$9)+INT($B$11/12),MONTH($B$9)+MOD($B$11,12),DAY($B$9)-1))-MAX(DATE(I12,1,1),$B$9)+1)))/(IF(MOD(YEAR(I13),4)=0,IF(MOD(YEAR(I13),100)&lt;&gt;0,366,IF(MOD(YEAR(I13),400)=0,366,365)),365))),0)</f>
        <v>513</v>
      </c>
      <c r="R28" s="24" t="str">
        <f>IF(OR(S29&lt;&gt;"",AND(S28&lt;&gt;S27,S28&lt;&gt;0)),MAX(0,MIN(DATE(O12,12,31),DATE(YEAR($B$9)+INT($B$11/12),MONTH($B$9)+MOD($B$11,12),DAY($B$9)-1))-MAX(DATE(O12,1,1),$B$9)+1) &amp; " jours" &amp; CHAR(10) &amp; "-------" &amp; CHAR(10) &amp; IF(MOD(YEAR(O13),4)=0,IF(MOD(YEAR(O13),100)&lt;&gt;0,366,IF(MOD(YEAR(O13),400)=0,366,365)),365),"")</f>
        <v/>
      </c>
      <c r="S28" s="62">
        <f>ROUND(S27*((IF(MAX(0,MIN(DATE(O12,12,31),DATE(YEAR($B$9)+INT($B$11/12),MONTH($B$9)+MOD($B$11,12),DAY($B$9)-1))-MAX(DATE(O12,1,1),$B$9)+1)&lt;=31,0,MAX(0,MIN(DATE(O12,12,31),DATE(YEAR($B$9)+INT($B$11/12),MONTH($B$9)+MOD($B$11,12),DAY($B$9)-1))-MAX(DATE(O12,1,1),$B$9)+1)))/(IF(MOD(YEAR(O13),4)=0,IF(MOD(YEAR(O13),100)&lt;&gt;0,366,IF(MOD(YEAR(O13),400)=0,366,365)),365))),0)</f>
        <v>682</v>
      </c>
      <c r="X28" s="24" t="str">
        <f>IF(OR(Y29&lt;&gt;"",AND(Y28&lt;&gt;Y27,Y28&lt;&gt;0)),MAX(0,MIN(DATE(U12,12,31),DATE(YEAR($B$9)+INT($B$11/12),MONTH($B$9)+MOD($B$11,12),DAY($B$9)-1))-MAX(DATE(U12,1,1),$B$9)+1) &amp; " jours" &amp; CHAR(10) &amp; "-------" &amp; CHAR(10) &amp; IF(MOD(YEAR(U13),4)=0,IF(MOD(YEAR(U13),100)&lt;&gt;0,366,IF(MOD(YEAR(U13),400)=0,366,365)),365),"")</f>
        <v/>
      </c>
      <c r="Y28" s="62">
        <f>ROUND(Y27*((IF(MAX(0,MIN(DATE(U12,12,31),DATE(YEAR($B$9)+INT($B$11/12),MONTH($B$9)+MOD($B$11,12),DAY($B$9)-1))-MAX(DATE(U12,1,1),$B$9)+1)&lt;=31,0,MAX(0,MIN(DATE(U12,12,31),DATE(YEAR($B$9)+INT($B$11/12),MONTH($B$9)+MOD($B$11,12),DAY($B$9)-1))-MAX(DATE(U12,1,1),$B$9)+1)))/(IF(MOD(YEAR(U13),4)=0,IF(MOD(YEAR(U13),100)&lt;&gt;0,366,IF(MOD(YEAR(U13),400)=0,366,365)),365))),0)</f>
        <v>682</v>
      </c>
      <c r="AD28" s="24" t="str">
        <f>IF(OR(AE29&lt;&gt;"",AND(AE28&lt;&gt;AE27,AE28&lt;&gt;0)),MAX(0,MIN(DATE(AA12,12,31),DATE(YEAR($B$9)+INT($B$11/12),MONTH($B$9)+MOD($B$11,12),DAY($B$9)-1))-MAX(DATE(AA12,1,1),$B$9)+1) &amp; " jours" &amp; CHAR(10) &amp; "-------" &amp; CHAR(10) &amp; IF(MOD(YEAR(AA13),4)=0,IF(MOD(YEAR(AA13),100)&lt;&gt;0,366,IF(MOD(YEAR(AA13),400)=0,366,365)),365),"")</f>
        <v>23 jours
-------
365</v>
      </c>
      <c r="AE28" s="62">
        <f>ROUND(AE27*((IF(MAX(0,MIN(DATE(AA12,12,31),DATE(YEAR($B$9)+INT($B$11/12),MONTH($B$9)+MOD($B$11,12),DAY($B$9)-1))-MAX(DATE(AA12,1,1),$B$9)+1)&lt;=31,0,MAX(0,MIN(DATE(AA12,12,31),DATE(YEAR($B$9)+INT($B$11/12),MONTH($B$9)+MOD($B$11,12),DAY($B$9)-1))-MAX(DATE(AA12,1,1),$B$9)+1)))/(IF(MOD(YEAR(AA13),4)=0,IF(MOD(YEAR(AA13),100)&lt;&gt;0,366,IF(MOD(YEAR(AA13),400)=0,366,365)),365))),0)</f>
        <v>0</v>
      </c>
      <c r="AJ28" s="24" t="str">
        <f>IF(OR(AK29&lt;&gt;"",AND(AK28&lt;&gt;AK27,AK28&lt;&gt;0)),MAX(0,MIN(DATE(AG12,12,31),DATE(YEAR($B$9)+INT($B$11/12),MONTH($B$9)+MOD($B$11,12),DAY($B$9)-1))-MAX(DATE(AG12,1,1),$B$9)+1) &amp; " jours" &amp; CHAR(10) &amp; "-------" &amp; CHAR(10) &amp; IF(MOD(YEAR(AG13),4)=0,IF(MOD(YEAR(AG13),100)&lt;&gt;0,366,IF(MOD(YEAR(AG13),400)=0,366,365)),365),"")</f>
        <v/>
      </c>
      <c r="AK28" s="62">
        <f>ROUND(AK27*((IF(MAX(0,MIN(DATE(AG12,12,31),DATE(YEAR($B$9)+INT($B$11/12),MONTH($B$9)+MOD($B$11,12),DAY($B$9)-1))-MAX(DATE(AG12,1,1),$B$9)+1)&lt;=31,0,MAX(0,MIN(DATE(AG12,12,31),DATE(YEAR($B$9)+INT($B$11/12),MONTH($B$9)+MOD($B$11,12),DAY($B$9)-1))-MAX(DATE(AG12,1,1),$B$9)+1)))/(IF(MOD(YEAR(AG13),4)=0,IF(MOD(YEAR(AG13),100)&lt;&gt;0,366,IF(MOD(YEAR(AG13),400)=0,366,365)),365))),0)</f>
        <v>0</v>
      </c>
      <c r="AP28" s="24" t="str">
        <f>IF(OR(AQ29&lt;&gt;"",AND(AQ28&lt;&gt;AQ27,AQ28&lt;&gt;0)),MAX(0,MIN(DATE(AM12,12,31),DATE(YEAR($B$9)+INT($B$11/12),MONTH($B$9)+MOD($B$11,12),DAY($B$9)-1))-MAX(DATE(AM12,1,1),$B$9)+1) &amp; " jours" &amp; CHAR(10) &amp; "-------" &amp; CHAR(10) &amp; IF(MOD(YEAR(AM13),4)=0,IF(MOD(YEAR(AM13),100)&lt;&gt;0,366,IF(MOD(YEAR(AM13),400)=0,366,365)),365),"")</f>
        <v/>
      </c>
      <c r="AQ28" s="62">
        <f>ROUND(AQ27*((IF(MAX(0,MIN(DATE(AM12,12,31),DATE(YEAR($B$9)+INT($B$11/12),MONTH($B$9)+MOD($B$11,12),DAY($B$9)-1))-MAX(DATE(AM12,1,1),$B$9)+1)&lt;=31,0,MAX(0,MIN(DATE(AM12,12,31),DATE(YEAR($B$9)+INT($B$11/12),MONTH($B$9)+MOD($B$11,12),DAY($B$9)-1))-MAX(DATE(AM12,1,1),$B$9)+1)))/(IF(MOD(YEAR(AM13),4)=0,IF(MOD(YEAR(AM13),100)&lt;&gt;0,366,IF(MOD(YEAR(AM13),400)=0,366,365)),365))),0)</f>
        <v>0</v>
      </c>
    </row>
    <row r="29" spans="2:44" ht="17" customHeight="1" x14ac:dyDescent="0.2">
      <c r="B29" s="23" t="s">
        <v>38</v>
      </c>
      <c r="F29" s="24"/>
      <c r="G29" s="21" t="str">
        <f>IF(AND(G25=0,G26=0),"",IF(AND(C13&gt;$B$9,G28=0),(IF(AND(MAX(0,MIN(DATE(C12,12,31),DATE(YEAR($B$9)+INT($B$11/12),MONTH($B$9)+MOD($B$11,12),DAY($B$9)-1))-MAX(DATE(C12,1,1),$B$9)+1) &lt;=31,C12&lt;YEAR($C$8)),"Utilisation &lt; 1 mois",(IF(OR(MAX(0,MIN(DATE(C12,12,31),DATE(YEAR($B$9)+INT($B$11/12),MONTH($B$9)+MOD($B$11,12),DAY($B$9)-1))-MAX(DATE(C12,1,1),$B$9)+1)&gt;31,C12&gt;YEAR($C$8)),"","Utilisation &lt; 1 mois")))),""))</f>
        <v/>
      </c>
      <c r="L29" s="24"/>
      <c r="M29" s="21" t="str">
        <f>IF(AND(M25=0,M26=0),"",IF(AND(I13&gt;$B$9,M28=0),(IF(AND(MAX(0,MIN(DATE(I12,12,31),DATE(YEAR($B$9)+INT($B$11/12),MONTH($B$9)+MOD($B$11,12),DAY($B$9)-1))-MAX(DATE(I12,1,1),$B$9)+1) &lt;=31,I12&lt;YEAR($C$8)),"Utilisation &lt; 1 mois",(IF(OR(MAX(0,MIN(DATE(I12,12,31),DATE(YEAR($B$9)+INT($B$11/12),MONTH($B$9)+MOD($B$11,12),DAY($B$9)-1))-MAX(DATE(I12,1,1),$B$9)+1)&gt;31,I12&gt;YEAR($C$8)),"","Utilisation &lt; 1 mois")))),""))</f>
        <v/>
      </c>
      <c r="R29" s="24"/>
      <c r="S29" s="21" t="str">
        <f>IF(AND(S25=0,S26=0),"",IF(AND(O13&gt;$B$9,S28=0),(IF(AND(MAX(0,MIN(DATE(O12,12,31),DATE(YEAR($B$9)+INT($B$11/12),MONTH($B$9)+MOD($B$11,12),DAY($B$9)-1))-MAX(DATE(O12,1,1),$B$9)+1) &lt;=31,O12&lt;YEAR($C$8)),"Utilisation &lt; 1 mois",(IF(OR(MAX(0,MIN(DATE(O12,12,31),DATE(YEAR($B$9)+INT($B$11/12),MONTH($B$9)+MOD($B$11,12),DAY($B$9)-1))-MAX(DATE(O12,1,1),$B$9)+1)&gt;31,O12&gt;YEAR($C$8)),"","Utilisation &lt; 1 mois")))),""))</f>
        <v/>
      </c>
      <c r="X29" s="24"/>
      <c r="Y29" s="21" t="str">
        <f>IF(AND(Y25=0,Y26=0),"",IF(AND(U13&gt;$B$9,Y28=0),(IF(AND(MAX(0,MIN(DATE(U12,12,31),DATE(YEAR($B$9)+INT($B$11/12),MONTH($B$9)+MOD($B$11,12),DAY($B$9)-1))-MAX(DATE(U12,1,1),$B$9)+1) &lt;=31,U12&lt;YEAR($C$8)),"Utilisation &lt; 1 mois",(IF(OR(MAX(0,MIN(DATE(U12,12,31),DATE(YEAR($B$9)+INT($B$11/12),MONTH($B$9)+MOD($B$11,12),DAY($B$9)-1))-MAX(DATE(U12,1,1),$B$9)+1)&gt;31,U12&gt;YEAR($C$8)),"","Utilisation &lt; 1 mois")))),""))</f>
        <v/>
      </c>
      <c r="AD29" s="24"/>
      <c r="AE29" s="21" t="str">
        <f>IF(AND(AE25=0,AE26=0),"",IF(AND(AA13&gt;$B$9,AE28=0),(IF(AND(MAX(0,MIN(DATE(AA12,12,31),DATE(YEAR($B$9)+INT($B$11/12),MONTH($B$9)+MOD($B$11,12),DAY($B$9)-1))-MAX(DATE(AA12,1,1),$B$9)+1) &lt;=31,AA12&lt;YEAR($C$8)),"Utilisation &lt; 1 mois",(IF(OR(MAX(0,MIN(DATE(AA12,12,31),DATE(YEAR($B$9)+INT($B$11/12),MONTH($B$9)+MOD($B$11,12),DAY($B$9)-1))-MAX(DATE(AA12,1,1),$B$9)+1)&gt;31,AA12&gt;YEAR($C$8)),"","Utilisation &lt; 1 mois")))),""))</f>
        <v>Utilisation &lt; 1 mois</v>
      </c>
      <c r="AJ29" s="24"/>
      <c r="AK29" s="21" t="str">
        <f>IF(AND(AK25=0,AK26=0),"",IF(AND(AG13&gt;$B$9,AK28=0),(IF(AND(MAX(0,MIN(DATE(AG12,12,31),DATE(YEAR($B$9)+INT($B$11/12),MONTH($B$9)+MOD($B$11,12),DAY($B$9)-1))-MAX(DATE(AG12,1,1),$B$9)+1) &lt;=31,AG12&lt;YEAR($C$8)),"Utilisation &lt; 1 mois",(IF(OR(MAX(0,MIN(DATE(AG12,12,31),DATE(YEAR($B$9)+INT($B$11/12),MONTH($B$9)+MOD($B$11,12),DAY($B$9)-1))-MAX(DATE(AG12,1,1),$B$9)+1)&gt;31,AG12&gt;YEAR($C$8)),"","Utilisation &lt; 1 mois")))),""))</f>
        <v/>
      </c>
      <c r="AP29" s="24"/>
      <c r="AQ29" s="21" t="str">
        <f>IF(AND(AQ25=0,AQ26=0),"",IF(AND(AM13&gt;$B$9,AQ28=0),(IF(AND(MAX(0,MIN(DATE(AM12,12,31),DATE(YEAR($B$9)+INT($B$11/12),MONTH($B$9)+MOD($B$11,12),DAY($B$9)-1))-MAX(DATE(AM12,1,1),$B$9)+1) &lt;=31,AM12&lt;YEAR($C$8)),"Utilisation &lt; 1 mois",(IF(OR(MAX(0,MIN(DATE(AM12,12,31),DATE(YEAR($B$9)+INT($B$11/12),MONTH($B$9)+MOD($B$11,12),DAY($B$9)-1))-MAX(DATE(AM12,1,1),$B$9)+1)&gt;31,AM12&gt;YEAR($C$8)),"","Utilisation &lt; 1 mois")))),""))</f>
        <v/>
      </c>
    </row>
    <row r="30" spans="2:44" x14ac:dyDescent="0.2">
      <c r="G30" s="3"/>
      <c r="M30" s="3"/>
      <c r="S30" s="3"/>
      <c r="Y30" s="3"/>
      <c r="AE30" s="3"/>
      <c r="AK30" s="3"/>
      <c r="AQ30" s="3"/>
    </row>
    <row r="34" spans="5:5" ht="51" customHeight="1" x14ac:dyDescent="0.2"/>
    <row r="40" spans="5:5" x14ac:dyDescent="0.2">
      <c r="E40" s="20"/>
    </row>
    <row r="41" spans="5:5" x14ac:dyDescent="0.2">
      <c r="E41" s="20"/>
    </row>
    <row r="42" spans="5:5" x14ac:dyDescent="0.2">
      <c r="E42" s="20"/>
    </row>
  </sheetData>
  <sheetProtection algorithmName="SHA-512" hashValue="OXdRkNwW+S1WEiQ1zBuJRJS0eEJpFtqs4la7ahGCzk5SmdSGQV0O/JlkmOo/KmaW8A/7RHw/uxBDupLk5Mehgg==" saltValue="eiGYyWZgx6aAMr2kKAgh/Q==" spinCount="100000" sheet="1" objects="1" scenarios="1" selectLockedCells="1"/>
  <mergeCells count="58">
    <mergeCell ref="AP14:AP15"/>
    <mergeCell ref="AQ14:AQ15"/>
    <mergeCell ref="AR14:AR15"/>
    <mergeCell ref="D14:D15"/>
    <mergeCell ref="E14:E15"/>
    <mergeCell ref="F14:F15"/>
    <mergeCell ref="G14:G15"/>
    <mergeCell ref="H14:H15"/>
    <mergeCell ref="AJ14:AJ15"/>
    <mergeCell ref="AK14:AK15"/>
    <mergeCell ref="AL14:AL15"/>
    <mergeCell ref="AN14:AN15"/>
    <mergeCell ref="AO14:AO15"/>
    <mergeCell ref="AD14:AD15"/>
    <mergeCell ref="AE14:AE15"/>
    <mergeCell ref="AF14:AF15"/>
    <mergeCell ref="AH14:AH15"/>
    <mergeCell ref="AI14:AI15"/>
    <mergeCell ref="X14:X15"/>
    <mergeCell ref="Y14:Y15"/>
    <mergeCell ref="Z14:Z15"/>
    <mergeCell ref="AB14:AB15"/>
    <mergeCell ref="AC14:AC15"/>
    <mergeCell ref="R14:R15"/>
    <mergeCell ref="S14:S15"/>
    <mergeCell ref="T14:T15"/>
    <mergeCell ref="V14:V15"/>
    <mergeCell ref="W14:W15"/>
    <mergeCell ref="B1:B2"/>
    <mergeCell ref="J14:J15"/>
    <mergeCell ref="K14:K15"/>
    <mergeCell ref="L14:L15"/>
    <mergeCell ref="M14:M15"/>
    <mergeCell ref="R28:R29"/>
    <mergeCell ref="X28:X29"/>
    <mergeCell ref="AD28:AD29"/>
    <mergeCell ref="AJ28:AJ29"/>
    <mergeCell ref="AP28:AP29"/>
    <mergeCell ref="F28:F29"/>
    <mergeCell ref="L28:L29"/>
    <mergeCell ref="B14:B20"/>
    <mergeCell ref="N14:N15"/>
    <mergeCell ref="AG12:AL12"/>
    <mergeCell ref="C13:H13"/>
    <mergeCell ref="I13:N13"/>
    <mergeCell ref="O13:T13"/>
    <mergeCell ref="U13:Z13"/>
    <mergeCell ref="AA13:AF13"/>
    <mergeCell ref="AG13:AL13"/>
    <mergeCell ref="C12:H12"/>
    <mergeCell ref="I12:N12"/>
    <mergeCell ref="O12:T12"/>
    <mergeCell ref="U12:Z12"/>
    <mergeCell ref="AA12:AF12"/>
    <mergeCell ref="P14:P15"/>
    <mergeCell ref="Q14:Q15"/>
    <mergeCell ref="AM12:AR12"/>
    <mergeCell ref="AM13:AR13"/>
  </mergeCells>
  <conditionalFormatting sqref="L28:L29">
    <cfRule type="expression" dxfId="6" priority="7">
      <formula>L28&lt;&gt;""</formula>
    </cfRule>
  </conditionalFormatting>
  <conditionalFormatting sqref="F28:F29">
    <cfRule type="expression" dxfId="5" priority="6">
      <formula>F28&lt;&gt;""</formula>
    </cfRule>
  </conditionalFormatting>
  <conditionalFormatting sqref="R28:R29">
    <cfRule type="expression" dxfId="4" priority="5">
      <formula>R28&lt;&gt;""</formula>
    </cfRule>
  </conditionalFormatting>
  <conditionalFormatting sqref="X28:X29">
    <cfRule type="expression" dxfId="3" priority="4">
      <formula>X28&lt;&gt;""</formula>
    </cfRule>
  </conditionalFormatting>
  <conditionalFormatting sqref="AD28:AD29">
    <cfRule type="expression" dxfId="2" priority="3">
      <formula>AD28&lt;&gt;""</formula>
    </cfRule>
  </conditionalFormatting>
  <conditionalFormatting sqref="AJ28:AJ29">
    <cfRule type="expression" dxfId="1" priority="2">
      <formula>AJ28&lt;&gt;""</formula>
    </cfRule>
  </conditionalFormatting>
  <conditionalFormatting sqref="AP28:AP29">
    <cfRule type="expression" dxfId="0" priority="1">
      <formula>AP28&lt;&gt;""</formula>
    </cfRule>
  </conditionalFormatting>
  <dataValidations count="1">
    <dataValidation type="list" allowBlank="1" showInputMessage="1" showErrorMessage="1" promptTitle="Choisissez la motorisation" sqref="B7" xr:uid="{9724E705-88F6-134A-BA33-1E814F3B1B53}">
      <formula1>$D$6:$D$8</formula1>
    </dataValidation>
  </dataValidations>
  <pageMargins left="0.7" right="0.7" top="0.75" bottom="0.75" header="0.3" footer="0.3"/>
  <pageSetup paperSize="9" scale="2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TCO</vt:lpstr>
      <vt:lpstr>Liste</vt:lpstr>
      <vt:lpstr>Motorisation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MARTIN SAINT LEON</dc:creator>
  <cp:lastModifiedBy>Xavier MARTIN SAINT LEON</cp:lastModifiedBy>
  <cp:lastPrinted>2025-01-24T14:05:05Z</cp:lastPrinted>
  <dcterms:created xsi:type="dcterms:W3CDTF">2024-10-10T12:49:41Z</dcterms:created>
  <dcterms:modified xsi:type="dcterms:W3CDTF">2025-01-24T17:08:55Z</dcterms:modified>
</cp:coreProperties>
</file>